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8"/>
  <workbookPr filterPrivacy="1"/>
  <xr:revisionPtr revIDLastSave="0" documentId="8_{D7C38816-AD8A-46D0-8130-B71A4CCB97ED}" xr6:coauthVersionLast="47" xr6:coauthVersionMax="47" xr10:uidLastSave="{00000000-0000-0000-0000-000000000000}"/>
  <bookViews>
    <workbookView xWindow="-120" yWindow="-120" windowWidth="29040" windowHeight="17640" tabRatio="932" xr2:uid="{00000000-000D-0000-FFFF-FFFF00000000}"/>
  </bookViews>
  <sheets>
    <sheet name="Janeiro" sheetId="4" r:id="rId1"/>
    <sheet name="Fevereiro" sheetId="5" r:id="rId2"/>
    <sheet name="Março" sheetId="17" r:id="rId3"/>
    <sheet name="Abril" sheetId="18" r:id="rId4"/>
    <sheet name="Maio" sheetId="19" r:id="rId5"/>
    <sheet name="Junho" sheetId="20" r:id="rId6"/>
    <sheet name="Julho" sheetId="21" r:id="rId7"/>
    <sheet name="Agosto" sheetId="22" r:id="rId8"/>
    <sheet name="Setembro" sheetId="23" r:id="rId9"/>
    <sheet name="Outubro" sheetId="24" r:id="rId10"/>
    <sheet name="Novembro" sheetId="25" r:id="rId11"/>
    <sheet name="Dezembro" sheetId="15" r:id="rId12"/>
    <sheet name="Nomes dos funcionários" sheetId="16" r:id="rId13"/>
  </sheets>
  <definedNames>
    <definedName name="AnoCalendário">Janeiro!$AH$6</definedName>
    <definedName name="ChaveFérias">Janeiro!$C$4</definedName>
    <definedName name="ChaveLicençaMédica">Janeiro!$K$4</definedName>
    <definedName name="ChavePersonalizada1">Janeiro!$P$4</definedName>
    <definedName name="ChavePersonalizada2">Janeiro!$U$4</definedName>
    <definedName name="ChavePessoal">Janeiro!$G$4</definedName>
    <definedName name="Nome_da_chave">Janeiro!$B$4</definedName>
    <definedName name="NomeMês" localSheetId="3">Abril!$B$2</definedName>
    <definedName name="NomeMês" localSheetId="7">Agosto!$B$2</definedName>
    <definedName name="NomeMês" localSheetId="11">Dezembro!$B$2</definedName>
    <definedName name="NomeMês" localSheetId="1">Fevereiro!$B$2</definedName>
    <definedName name="NomeMês" localSheetId="0">Janeiro!$B$2</definedName>
    <definedName name="NomeMês" localSheetId="6">Julho!$B$2</definedName>
    <definedName name="NomeMês" localSheetId="5">Junho!$B$2</definedName>
    <definedName name="NomeMês" localSheetId="4">Maio!$B$4</definedName>
    <definedName name="NomeMês" localSheetId="2">Março!$B$2</definedName>
    <definedName name="NomeMês" localSheetId="10">Novembro!$B$2</definedName>
    <definedName name="NomeMês" localSheetId="9">Outubro!$B$2</definedName>
    <definedName name="NomeMês" localSheetId="8">Setembro!$B$2</definedName>
    <definedName name="RótuloChaveLicençaMédica">Janeiro!$L$4</definedName>
    <definedName name="RótulodeChavedeFérias">Janeiro!$D$4</definedName>
    <definedName name="RótulodeChavePersonalizada1">Janeiro!$Q$4</definedName>
    <definedName name="RótulodeChavePersonalizada2">Janeiro!$V$4</definedName>
    <definedName name="RótuloDeChavePessoal">Janeiro!$H$4</definedName>
    <definedName name="Título_de_Falta_do_Funcionário">Janeiro!$B$1</definedName>
    <definedName name="Título1">Janeiro[[#Headers],[Nome do funcionário]]</definedName>
    <definedName name="Título10">Outubro[[#Headers],[Nome do funcionário]]</definedName>
    <definedName name="Título11">Novembro[[#Headers],[Nome do funcionário]]</definedName>
    <definedName name="Título12">Dezembro[[#Headers],[Nome do funcionário]]</definedName>
    <definedName name="Título2">Fevereiro[[#Headers],[Nome do funcionário]]</definedName>
    <definedName name="Título3">Março[[#Headers],[Nome do funcionário]]</definedName>
    <definedName name="Título4">March5[[#Headers],[Nome do funcionário]]</definedName>
    <definedName name="Título5">March58[[#Headers],[Nome do funcionário]]</definedName>
    <definedName name="Título6">Junho[[#Headers],[Nome do funcionário]]</definedName>
    <definedName name="Título7">Julho[[#Headers],[Nome do funcionário]]</definedName>
    <definedName name="Título8">Agosto[[#Headers],[Nome do funcionário]]</definedName>
    <definedName name="Título9">Setembro[[#Headers],[Nome do funcionário]]</definedName>
    <definedName name="TítuloColuna13">NomeDoFuncionário[[#Headers],[Nomes dos Funcionários]]</definedName>
    <definedName name="_xlnm.Print_Titles" localSheetId="3">Abril!$7:$9</definedName>
    <definedName name="_xlnm.Print_Titles" localSheetId="7">Agosto!$6:$8</definedName>
    <definedName name="_xlnm.Print_Titles" localSheetId="11">Dezembro!$6:$8</definedName>
    <definedName name="_xlnm.Print_Titles" localSheetId="1">Fevereiro!$6:$8</definedName>
    <definedName name="_xlnm.Print_Titles" localSheetId="0">Janeiro!$6:$8</definedName>
    <definedName name="_xlnm.Print_Titles" localSheetId="6">Julho!$7:$8</definedName>
    <definedName name="_xlnm.Print_Titles" localSheetId="5">Junho!$6:$8</definedName>
    <definedName name="_xlnm.Print_Titles" localSheetId="4">Maio!$4:$6</definedName>
    <definedName name="_xlnm.Print_Titles" localSheetId="2">Março!$6:$8</definedName>
    <definedName name="_xlnm.Print_Titles" localSheetId="10">Novembro!$6:$8</definedName>
    <definedName name="_xlnm.Print_Titles" localSheetId="9">Outubro!$6:$8</definedName>
    <definedName name="_xlnm.Print_Titles" localSheetId="8">Setembro!$6:$8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7" i="5" l="1"/>
  <c r="AD7" i="5"/>
  <c r="AC7" i="5"/>
  <c r="AB7" i="5"/>
  <c r="AA7" i="5"/>
  <c r="Z7" i="5"/>
  <c r="Y7" i="5"/>
  <c r="X7" i="5"/>
  <c r="W7" i="5"/>
  <c r="V7" i="5"/>
  <c r="U7" i="5"/>
  <c r="T7" i="5"/>
  <c r="S7" i="5"/>
  <c r="R7" i="5"/>
  <c r="Q7" i="5"/>
  <c r="P7" i="5"/>
  <c r="O7" i="5"/>
  <c r="N7" i="5"/>
  <c r="M7" i="5"/>
  <c r="L7" i="5"/>
  <c r="K7" i="5"/>
  <c r="J7" i="5"/>
  <c r="I7" i="5"/>
  <c r="H7" i="5"/>
  <c r="G7" i="5"/>
  <c r="F7" i="5"/>
  <c r="E7" i="5"/>
  <c r="D7" i="5"/>
  <c r="C7" i="5"/>
  <c r="AG7" i="17"/>
  <c r="AF7" i="17"/>
  <c r="AE7" i="17"/>
  <c r="AD7" i="17"/>
  <c r="AC7" i="17"/>
  <c r="AB7" i="17"/>
  <c r="AA7" i="17"/>
  <c r="Z7" i="17"/>
  <c r="Y7" i="17"/>
  <c r="X7" i="17"/>
  <c r="W7" i="17"/>
  <c r="V7" i="17"/>
  <c r="U7" i="17"/>
  <c r="T7" i="17"/>
  <c r="S7" i="17"/>
  <c r="R7" i="17"/>
  <c r="Q7" i="17"/>
  <c r="P7" i="17"/>
  <c r="O7" i="17"/>
  <c r="N7" i="17"/>
  <c r="M7" i="17"/>
  <c r="L7" i="17"/>
  <c r="K7" i="17"/>
  <c r="J7" i="17"/>
  <c r="I7" i="17"/>
  <c r="H7" i="17"/>
  <c r="G7" i="17"/>
  <c r="F7" i="17"/>
  <c r="E7" i="17"/>
  <c r="D7" i="17"/>
  <c r="C7" i="17"/>
  <c r="AF7" i="18"/>
  <c r="AE7" i="18"/>
  <c r="AD7" i="18"/>
  <c r="AC7" i="18"/>
  <c r="AB7" i="18"/>
  <c r="AA7" i="18"/>
  <c r="Z7" i="18"/>
  <c r="Y7" i="18"/>
  <c r="X7" i="18"/>
  <c r="W7" i="18"/>
  <c r="V7" i="18"/>
  <c r="U7" i="18"/>
  <c r="T7" i="18"/>
  <c r="S7" i="18"/>
  <c r="R7" i="18"/>
  <c r="Q7" i="18"/>
  <c r="P7" i="18"/>
  <c r="O7" i="18"/>
  <c r="N7" i="18"/>
  <c r="M7" i="18"/>
  <c r="L7" i="18"/>
  <c r="K7" i="18"/>
  <c r="J7" i="18"/>
  <c r="I7" i="18"/>
  <c r="H7" i="18"/>
  <c r="G7" i="18"/>
  <c r="F7" i="18"/>
  <c r="E7" i="18"/>
  <c r="D7" i="18"/>
  <c r="C7" i="18"/>
  <c r="AG7" i="19"/>
  <c r="AF7" i="19"/>
  <c r="AE7" i="19"/>
  <c r="AD7" i="19"/>
  <c r="AC7" i="19"/>
  <c r="AB7" i="19"/>
  <c r="AA7" i="19"/>
  <c r="Z7" i="19"/>
  <c r="Y7" i="19"/>
  <c r="X7" i="19"/>
  <c r="W7" i="19"/>
  <c r="V7" i="19"/>
  <c r="U7" i="19"/>
  <c r="T7" i="19"/>
  <c r="S7" i="19"/>
  <c r="R7" i="19"/>
  <c r="Q7" i="19"/>
  <c r="P7" i="19"/>
  <c r="O7" i="19"/>
  <c r="N7" i="19"/>
  <c r="M7" i="19"/>
  <c r="L7" i="19"/>
  <c r="K7" i="19"/>
  <c r="J7" i="19"/>
  <c r="I7" i="19"/>
  <c r="H7" i="19"/>
  <c r="G7" i="19"/>
  <c r="F7" i="19"/>
  <c r="E7" i="19"/>
  <c r="D7" i="19"/>
  <c r="C7" i="19"/>
  <c r="AF7" i="20"/>
  <c r="AE7" i="20"/>
  <c r="AD7" i="20"/>
  <c r="AC7" i="20"/>
  <c r="AB7" i="20"/>
  <c r="AA7" i="20"/>
  <c r="Z7" i="20"/>
  <c r="Y7" i="20"/>
  <c r="X7" i="20"/>
  <c r="W7" i="20"/>
  <c r="V7" i="20"/>
  <c r="U7" i="20"/>
  <c r="T7" i="20"/>
  <c r="S7" i="20"/>
  <c r="R7" i="20"/>
  <c r="Q7" i="20"/>
  <c r="P7" i="20"/>
  <c r="O7" i="20"/>
  <c r="N7" i="20"/>
  <c r="M7" i="20"/>
  <c r="L7" i="20"/>
  <c r="K7" i="20"/>
  <c r="J7" i="20"/>
  <c r="I7" i="20"/>
  <c r="H7" i="20"/>
  <c r="G7" i="20"/>
  <c r="F7" i="20"/>
  <c r="E7" i="20"/>
  <c r="D7" i="20"/>
  <c r="C7" i="20"/>
  <c r="AG7" i="21"/>
  <c r="AF7" i="21"/>
  <c r="AE7" i="21"/>
  <c r="AD7" i="21"/>
  <c r="AC7" i="21"/>
  <c r="AB7" i="21"/>
  <c r="AA7" i="21"/>
  <c r="Z7" i="21"/>
  <c r="Y7" i="21"/>
  <c r="X7" i="21"/>
  <c r="W7" i="21"/>
  <c r="V7" i="21"/>
  <c r="U7" i="21"/>
  <c r="T7" i="21"/>
  <c r="S7" i="21"/>
  <c r="R7" i="21"/>
  <c r="Q7" i="21"/>
  <c r="P7" i="21"/>
  <c r="O7" i="21"/>
  <c r="N7" i="21"/>
  <c r="M7" i="21"/>
  <c r="L7" i="21"/>
  <c r="K7" i="21"/>
  <c r="J7" i="21"/>
  <c r="I7" i="21"/>
  <c r="H7" i="21"/>
  <c r="G7" i="21"/>
  <c r="F7" i="21"/>
  <c r="E7" i="21"/>
  <c r="D7" i="21"/>
  <c r="C7" i="21"/>
  <c r="AG7" i="22"/>
  <c r="AF7" i="22"/>
  <c r="AE7" i="22"/>
  <c r="AD7" i="22"/>
  <c r="AC7" i="22"/>
  <c r="AB7" i="22"/>
  <c r="AA7" i="22"/>
  <c r="Z7" i="22"/>
  <c r="Y7" i="22"/>
  <c r="X7" i="22"/>
  <c r="W7" i="22"/>
  <c r="V7" i="22"/>
  <c r="U7" i="22"/>
  <c r="T7" i="22"/>
  <c r="S7" i="22"/>
  <c r="R7" i="22"/>
  <c r="Q7" i="22"/>
  <c r="P7" i="22"/>
  <c r="O7" i="22"/>
  <c r="N7" i="22"/>
  <c r="M7" i="22"/>
  <c r="L7" i="22"/>
  <c r="K7" i="22"/>
  <c r="J7" i="22"/>
  <c r="I7" i="22"/>
  <c r="H7" i="22"/>
  <c r="G7" i="22"/>
  <c r="F7" i="22"/>
  <c r="E7" i="22"/>
  <c r="D7" i="22"/>
  <c r="C7" i="22"/>
  <c r="AF7" i="23"/>
  <c r="AE7" i="23"/>
  <c r="AD7" i="23"/>
  <c r="AC7" i="23"/>
  <c r="AB7" i="23"/>
  <c r="AA7" i="23"/>
  <c r="Z7" i="23"/>
  <c r="Y7" i="23"/>
  <c r="X7" i="23"/>
  <c r="W7" i="23"/>
  <c r="V7" i="23"/>
  <c r="U7" i="23"/>
  <c r="T7" i="23"/>
  <c r="S7" i="23"/>
  <c r="R7" i="23"/>
  <c r="Q7" i="23"/>
  <c r="P7" i="23"/>
  <c r="O7" i="23"/>
  <c r="N7" i="23"/>
  <c r="M7" i="23"/>
  <c r="L7" i="23"/>
  <c r="K7" i="23"/>
  <c r="J7" i="23"/>
  <c r="I7" i="23"/>
  <c r="H7" i="23"/>
  <c r="G7" i="23"/>
  <c r="F7" i="23"/>
  <c r="E7" i="23"/>
  <c r="D7" i="23"/>
  <c r="C7" i="23"/>
  <c r="AG7" i="24"/>
  <c r="AF7" i="24"/>
  <c r="AE7" i="24"/>
  <c r="AD7" i="24"/>
  <c r="AC7" i="24"/>
  <c r="AB7" i="24"/>
  <c r="AA7" i="24"/>
  <c r="Z7" i="24"/>
  <c r="Y7" i="24"/>
  <c r="X7" i="24"/>
  <c r="W7" i="24"/>
  <c r="V7" i="24"/>
  <c r="U7" i="24"/>
  <c r="T7" i="24"/>
  <c r="S7" i="24"/>
  <c r="R7" i="24"/>
  <c r="Q7" i="24"/>
  <c r="P7" i="24"/>
  <c r="O7" i="24"/>
  <c r="N7" i="24"/>
  <c r="M7" i="24"/>
  <c r="L7" i="24"/>
  <c r="K7" i="24"/>
  <c r="J7" i="24"/>
  <c r="I7" i="24"/>
  <c r="H7" i="24"/>
  <c r="G7" i="24"/>
  <c r="F7" i="24"/>
  <c r="E7" i="24"/>
  <c r="D7" i="24"/>
  <c r="C7" i="24"/>
  <c r="AF7" i="25"/>
  <c r="AE7" i="25"/>
  <c r="AD7" i="25"/>
  <c r="AC7" i="25"/>
  <c r="AB7" i="25"/>
  <c r="AA7" i="25"/>
  <c r="Z7" i="25"/>
  <c r="Y7" i="25"/>
  <c r="X7" i="25"/>
  <c r="W7" i="25"/>
  <c r="V7" i="25"/>
  <c r="U7" i="25"/>
  <c r="T7" i="25"/>
  <c r="S7" i="25"/>
  <c r="R7" i="25"/>
  <c r="Q7" i="25"/>
  <c r="P7" i="25"/>
  <c r="O7" i="25"/>
  <c r="N7" i="25"/>
  <c r="M7" i="25"/>
  <c r="L7" i="25"/>
  <c r="K7" i="25"/>
  <c r="J7" i="25"/>
  <c r="I7" i="25"/>
  <c r="H7" i="25"/>
  <c r="G7" i="25"/>
  <c r="F7" i="25"/>
  <c r="E7" i="25"/>
  <c r="D7" i="25"/>
  <c r="C7" i="25"/>
  <c r="AG7" i="15"/>
  <c r="AF7" i="15"/>
  <c r="AE7" i="15"/>
  <c r="AD7" i="15"/>
  <c r="AC7" i="15"/>
  <c r="AB7" i="15"/>
  <c r="AA7" i="15"/>
  <c r="Z7" i="15"/>
  <c r="Y7" i="15"/>
  <c r="X7" i="15"/>
  <c r="W7" i="15"/>
  <c r="V7" i="15"/>
  <c r="U7" i="15"/>
  <c r="T7" i="15"/>
  <c r="S7" i="15"/>
  <c r="R7" i="15"/>
  <c r="Q7" i="15"/>
  <c r="P7" i="15"/>
  <c r="O7" i="15"/>
  <c r="N7" i="15"/>
  <c r="M7" i="15"/>
  <c r="L7" i="15"/>
  <c r="K7" i="15"/>
  <c r="J7" i="15"/>
  <c r="I7" i="15"/>
  <c r="H7" i="15"/>
  <c r="G7" i="15"/>
  <c r="F7" i="15"/>
  <c r="E7" i="15"/>
  <c r="D7" i="15"/>
  <c r="C7" i="15"/>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C7" i="4"/>
  <c r="AH6" i="15" l="1"/>
  <c r="AH6" i="25"/>
  <c r="AH6" i="24"/>
  <c r="AH6" i="23"/>
  <c r="AH6" i="22"/>
  <c r="AH6" i="21"/>
  <c r="B14" i="19"/>
  <c r="AH6" i="20"/>
  <c r="B14" i="18"/>
  <c r="B14" i="4"/>
  <c r="AG14" i="19"/>
  <c r="AF14" i="19"/>
  <c r="AE14" i="19"/>
  <c r="AD14" i="19"/>
  <c r="AC14" i="19"/>
  <c r="AB14" i="19"/>
  <c r="AA14" i="19"/>
  <c r="Z14" i="19"/>
  <c r="Y14" i="19"/>
  <c r="X14" i="19"/>
  <c r="W14" i="19"/>
  <c r="V14" i="19"/>
  <c r="U14" i="19"/>
  <c r="T14" i="19"/>
  <c r="S14" i="19"/>
  <c r="R14" i="19"/>
  <c r="Q14" i="19"/>
  <c r="P14" i="19"/>
  <c r="O14" i="19"/>
  <c r="N14" i="19"/>
  <c r="M14" i="19"/>
  <c r="L14" i="19"/>
  <c r="K14" i="19"/>
  <c r="J14" i="19"/>
  <c r="I14" i="19"/>
  <c r="H14" i="19"/>
  <c r="G14" i="19"/>
  <c r="F14" i="19"/>
  <c r="E14" i="19"/>
  <c r="D14" i="19"/>
  <c r="C14" i="19"/>
  <c r="AH13" i="19"/>
  <c r="AH12" i="19"/>
  <c r="AH11" i="19"/>
  <c r="AH10" i="19"/>
  <c r="AH9" i="19"/>
  <c r="AH6" i="19"/>
  <c r="AG14" i="18"/>
  <c r="AF14" i="18"/>
  <c r="AE14" i="18"/>
  <c r="AD14" i="18"/>
  <c r="AC14" i="18"/>
  <c r="AB14" i="18"/>
  <c r="AA14" i="18"/>
  <c r="Z14" i="18"/>
  <c r="Y14" i="18"/>
  <c r="X14" i="18"/>
  <c r="W14" i="18"/>
  <c r="V14" i="18"/>
  <c r="U14" i="18"/>
  <c r="T14" i="18"/>
  <c r="S14" i="18"/>
  <c r="R14" i="18"/>
  <c r="Q14" i="18"/>
  <c r="P14" i="18"/>
  <c r="O14" i="18"/>
  <c r="N14" i="18"/>
  <c r="M14" i="18"/>
  <c r="L14" i="18"/>
  <c r="K14" i="18"/>
  <c r="J14" i="18"/>
  <c r="I14" i="18"/>
  <c r="H14" i="18"/>
  <c r="G14" i="18"/>
  <c r="F14" i="18"/>
  <c r="E14" i="18"/>
  <c r="D14" i="18"/>
  <c r="C14" i="18"/>
  <c r="AH13" i="18"/>
  <c r="AH12" i="18"/>
  <c r="AH11" i="18"/>
  <c r="AH10" i="18"/>
  <c r="AH9" i="18"/>
  <c r="AH6" i="18"/>
  <c r="AH6" i="17"/>
  <c r="B14" i="5"/>
  <c r="AH11" i="4"/>
  <c r="AH12" i="4"/>
  <c r="AH14" i="18" l="1"/>
  <c r="AH14" i="19"/>
  <c r="B14" i="23"/>
  <c r="AG14" i="25"/>
  <c r="AF14" i="25"/>
  <c r="AE14" i="25"/>
  <c r="AD14" i="25"/>
  <c r="AC14" i="25"/>
  <c r="AB14" i="25"/>
  <c r="AA14" i="25"/>
  <c r="Z14" i="25"/>
  <c r="Y14" i="25"/>
  <c r="X14" i="25"/>
  <c r="W14" i="25"/>
  <c r="V14" i="25"/>
  <c r="U14" i="25"/>
  <c r="T14" i="25"/>
  <c r="S14" i="25"/>
  <c r="R14" i="25"/>
  <c r="Q14" i="25"/>
  <c r="P14" i="25"/>
  <c r="O14" i="25"/>
  <c r="N14" i="25"/>
  <c r="M14" i="25"/>
  <c r="L14" i="25"/>
  <c r="K14" i="25"/>
  <c r="J14" i="25"/>
  <c r="I14" i="25"/>
  <c r="H14" i="25"/>
  <c r="G14" i="25"/>
  <c r="F14" i="25"/>
  <c r="E14" i="25"/>
  <c r="D14" i="25"/>
  <c r="C14" i="25"/>
  <c r="B14" i="25"/>
  <c r="AH13" i="25"/>
  <c r="AH12" i="25"/>
  <c r="AH11" i="25"/>
  <c r="AH10" i="25"/>
  <c r="AH9" i="25"/>
  <c r="AG14" i="24"/>
  <c r="AF14" i="24"/>
  <c r="AE14" i="24"/>
  <c r="AD14" i="24"/>
  <c r="AC14" i="24"/>
  <c r="AB14" i="24"/>
  <c r="AA14" i="24"/>
  <c r="Z14" i="24"/>
  <c r="Y14" i="24"/>
  <c r="X14" i="24"/>
  <c r="W14" i="24"/>
  <c r="V14" i="24"/>
  <c r="U14" i="24"/>
  <c r="T14" i="24"/>
  <c r="S14" i="24"/>
  <c r="R14" i="24"/>
  <c r="Q14" i="24"/>
  <c r="P14" i="24"/>
  <c r="O14" i="24"/>
  <c r="N14" i="24"/>
  <c r="M14" i="24"/>
  <c r="L14" i="24"/>
  <c r="K14" i="24"/>
  <c r="J14" i="24"/>
  <c r="I14" i="24"/>
  <c r="H14" i="24"/>
  <c r="G14" i="24"/>
  <c r="F14" i="24"/>
  <c r="E14" i="24"/>
  <c r="D14" i="24"/>
  <c r="C14" i="24"/>
  <c r="B14" i="24"/>
  <c r="AH13" i="24"/>
  <c r="AH12" i="24"/>
  <c r="AH11" i="24"/>
  <c r="AH10" i="24"/>
  <c r="AH9" i="24"/>
  <c r="AG14" i="23"/>
  <c r="AF14" i="23"/>
  <c r="AE14" i="23"/>
  <c r="AD14" i="23"/>
  <c r="AC14" i="23"/>
  <c r="AB14" i="23"/>
  <c r="AA14" i="23"/>
  <c r="Z14" i="23"/>
  <c r="Y14" i="23"/>
  <c r="X14" i="23"/>
  <c r="W14" i="23"/>
  <c r="V14" i="23"/>
  <c r="U14" i="23"/>
  <c r="T14" i="23"/>
  <c r="S14" i="23"/>
  <c r="R14" i="23"/>
  <c r="Q14" i="23"/>
  <c r="P14" i="23"/>
  <c r="O14" i="23"/>
  <c r="N14" i="23"/>
  <c r="M14" i="23"/>
  <c r="L14" i="23"/>
  <c r="K14" i="23"/>
  <c r="J14" i="23"/>
  <c r="I14" i="23"/>
  <c r="H14" i="23"/>
  <c r="G14" i="23"/>
  <c r="F14" i="23"/>
  <c r="E14" i="23"/>
  <c r="D14" i="23"/>
  <c r="C14" i="23"/>
  <c r="AH13" i="23"/>
  <c r="AH12" i="23"/>
  <c r="AH11" i="23"/>
  <c r="AH10" i="23"/>
  <c r="AH9" i="23"/>
  <c r="AG14" i="22"/>
  <c r="AF14" i="22"/>
  <c r="AE14" i="22"/>
  <c r="AD14" i="22"/>
  <c r="AC14" i="22"/>
  <c r="AB14" i="22"/>
  <c r="AA14" i="22"/>
  <c r="Z14" i="22"/>
  <c r="Y14" i="22"/>
  <c r="X14" i="22"/>
  <c r="W14" i="22"/>
  <c r="V14" i="22"/>
  <c r="U14" i="22"/>
  <c r="T14" i="22"/>
  <c r="S14" i="22"/>
  <c r="R14" i="22"/>
  <c r="Q14" i="22"/>
  <c r="P14" i="22"/>
  <c r="O14" i="22"/>
  <c r="N14" i="22"/>
  <c r="M14" i="22"/>
  <c r="L14" i="22"/>
  <c r="K14" i="22"/>
  <c r="J14" i="22"/>
  <c r="I14" i="22"/>
  <c r="H14" i="22"/>
  <c r="G14" i="22"/>
  <c r="F14" i="22"/>
  <c r="E14" i="22"/>
  <c r="D14" i="22"/>
  <c r="C14" i="22"/>
  <c r="B14" i="22"/>
  <c r="AH13" i="22"/>
  <c r="AH12" i="22"/>
  <c r="AH11" i="22"/>
  <c r="AH10" i="22"/>
  <c r="AH9" i="22"/>
  <c r="AG14" i="21"/>
  <c r="AF14" i="21"/>
  <c r="AE14" i="21"/>
  <c r="AD14" i="21"/>
  <c r="AC14" i="21"/>
  <c r="AB14" i="21"/>
  <c r="AA14" i="21"/>
  <c r="Z14" i="21"/>
  <c r="Y14" i="21"/>
  <c r="X14" i="21"/>
  <c r="W14" i="21"/>
  <c r="V14" i="21"/>
  <c r="U14" i="21"/>
  <c r="T14" i="21"/>
  <c r="S14" i="21"/>
  <c r="R14" i="21"/>
  <c r="Q14" i="21"/>
  <c r="P14" i="21"/>
  <c r="O14" i="21"/>
  <c r="N14" i="21"/>
  <c r="M14" i="21"/>
  <c r="L14" i="21"/>
  <c r="K14" i="21"/>
  <c r="J14" i="21"/>
  <c r="I14" i="21"/>
  <c r="H14" i="21"/>
  <c r="G14" i="21"/>
  <c r="F14" i="21"/>
  <c r="E14" i="21"/>
  <c r="D14" i="21"/>
  <c r="C14" i="21"/>
  <c r="B14" i="21"/>
  <c r="AH13" i="21"/>
  <c r="AH12" i="21"/>
  <c r="AH11" i="21"/>
  <c r="AH10" i="21"/>
  <c r="AH9" i="21"/>
  <c r="AG14" i="20"/>
  <c r="AF14" i="20"/>
  <c r="AE14" i="20"/>
  <c r="AD14" i="20"/>
  <c r="AC14" i="20"/>
  <c r="AB14" i="20"/>
  <c r="AA14" i="20"/>
  <c r="Z14" i="20"/>
  <c r="Y14" i="20"/>
  <c r="X14" i="20"/>
  <c r="W14" i="20"/>
  <c r="V14" i="20"/>
  <c r="U14" i="20"/>
  <c r="T14" i="20"/>
  <c r="S14" i="20"/>
  <c r="R14" i="20"/>
  <c r="Q14" i="20"/>
  <c r="P14" i="20"/>
  <c r="O14" i="20"/>
  <c r="N14" i="20"/>
  <c r="M14" i="20"/>
  <c r="L14" i="20"/>
  <c r="K14" i="20"/>
  <c r="J14" i="20"/>
  <c r="I14" i="20"/>
  <c r="H14" i="20"/>
  <c r="G14" i="20"/>
  <c r="F14" i="20"/>
  <c r="E14" i="20"/>
  <c r="D14" i="20"/>
  <c r="C14" i="20"/>
  <c r="B14" i="20"/>
  <c r="AH13" i="20"/>
  <c r="AH12" i="20"/>
  <c r="AH11" i="20"/>
  <c r="AH10" i="20"/>
  <c r="AH9" i="20"/>
  <c r="AG14" i="17"/>
  <c r="AF14" i="17"/>
  <c r="AE14" i="17"/>
  <c r="AD14" i="17"/>
  <c r="AC14" i="17"/>
  <c r="AB14" i="17"/>
  <c r="AA14" i="17"/>
  <c r="Z14" i="17"/>
  <c r="Y14" i="17"/>
  <c r="X14" i="17"/>
  <c r="W14" i="17"/>
  <c r="V14" i="17"/>
  <c r="U14" i="17"/>
  <c r="T14" i="17"/>
  <c r="S14" i="17"/>
  <c r="R14" i="17"/>
  <c r="Q14" i="17"/>
  <c r="P14" i="17"/>
  <c r="O14" i="17"/>
  <c r="N14" i="17"/>
  <c r="M14" i="17"/>
  <c r="L14" i="17"/>
  <c r="K14" i="17"/>
  <c r="J14" i="17"/>
  <c r="I14" i="17"/>
  <c r="H14" i="17"/>
  <c r="G14" i="17"/>
  <c r="F14" i="17"/>
  <c r="E14" i="17"/>
  <c r="D14" i="17"/>
  <c r="C14" i="17"/>
  <c r="B14" i="17"/>
  <c r="AH13" i="17"/>
  <c r="AH12" i="17"/>
  <c r="AH11" i="17"/>
  <c r="AH10" i="17"/>
  <c r="AH9" i="17"/>
  <c r="AH14" i="23" l="1"/>
  <c r="AH14" i="17"/>
  <c r="AH14" i="21"/>
  <c r="AH14" i="22"/>
  <c r="AH14" i="25"/>
  <c r="AH14" i="20"/>
  <c r="AH14" i="24"/>
  <c r="AH6" i="5" l="1"/>
  <c r="C14" i="4" l="1"/>
  <c r="D14" i="4"/>
  <c r="E14" i="4"/>
  <c r="F14" i="4"/>
  <c r="G14" i="4"/>
  <c r="H14" i="4"/>
  <c r="I14" i="4"/>
  <c r="J14" i="4"/>
  <c r="K14" i="4"/>
  <c r="L14" i="4"/>
  <c r="M14" i="4"/>
  <c r="N14" i="4"/>
  <c r="O14" i="4"/>
  <c r="P14" i="4"/>
  <c r="Q14" i="4"/>
  <c r="R14" i="4"/>
  <c r="S14" i="4"/>
  <c r="T14" i="4"/>
  <c r="U14" i="4"/>
  <c r="V14" i="4"/>
  <c r="W14" i="4"/>
  <c r="X14" i="4"/>
  <c r="Y14" i="4"/>
  <c r="Z14" i="4"/>
  <c r="AA14" i="4"/>
  <c r="AB14" i="4"/>
  <c r="AC14" i="4"/>
  <c r="AD14" i="4"/>
  <c r="AE14" i="4"/>
  <c r="AF14" i="4"/>
  <c r="AG14" i="4"/>
  <c r="AG14" i="15" l="1"/>
  <c r="AF14" i="15"/>
  <c r="AH9" i="15"/>
  <c r="AH10" i="15"/>
  <c r="AH11" i="15"/>
  <c r="AH12" i="15"/>
  <c r="AH13" i="15"/>
  <c r="AH14" i="15" l="1"/>
  <c r="C14" i="15"/>
  <c r="D14" i="15"/>
  <c r="E14" i="15"/>
  <c r="F14" i="15"/>
  <c r="G14" i="15"/>
  <c r="H14" i="15"/>
  <c r="I14" i="15"/>
  <c r="J14" i="15"/>
  <c r="K14" i="15"/>
  <c r="L14" i="15"/>
  <c r="M14" i="15"/>
  <c r="N14" i="15"/>
  <c r="O14" i="15"/>
  <c r="P14" i="15"/>
  <c r="Q14" i="15"/>
  <c r="R14" i="15"/>
  <c r="S14" i="15"/>
  <c r="T14" i="15"/>
  <c r="U14" i="15"/>
  <c r="V14" i="15"/>
  <c r="W14" i="15"/>
  <c r="X14" i="15"/>
  <c r="Y14" i="15"/>
  <c r="Z14" i="15"/>
  <c r="AA14" i="15"/>
  <c r="AB14" i="15"/>
  <c r="AC14" i="15"/>
  <c r="AD14" i="15"/>
  <c r="AE14" i="15"/>
  <c r="B14" i="15" l="1"/>
  <c r="AH13" i="5" l="1"/>
  <c r="AH12" i="5"/>
  <c r="AH11" i="5"/>
  <c r="AH13" i="4"/>
  <c r="AE14" i="5"/>
  <c r="AD14" i="5"/>
  <c r="AC14" i="5"/>
  <c r="AB14" i="5"/>
  <c r="AA14" i="5"/>
  <c r="Z14" i="5"/>
  <c r="Y14" i="5"/>
  <c r="X14" i="5"/>
  <c r="W14" i="5"/>
  <c r="V14" i="5"/>
  <c r="U14" i="5"/>
  <c r="T14" i="5"/>
  <c r="S14" i="5"/>
  <c r="R14" i="5"/>
  <c r="Q14" i="5"/>
  <c r="P14" i="5"/>
  <c r="O14" i="5"/>
  <c r="N14" i="5"/>
  <c r="M14" i="5"/>
  <c r="L14" i="5"/>
  <c r="K14" i="5"/>
  <c r="J14" i="5"/>
  <c r="I14" i="5"/>
  <c r="H14" i="5"/>
  <c r="G14" i="5"/>
  <c r="F14" i="5"/>
  <c r="E14" i="5"/>
  <c r="D14" i="5"/>
  <c r="C14" i="5"/>
  <c r="AH10" i="5"/>
  <c r="AH9" i="5"/>
  <c r="AH14" i="5" l="1"/>
  <c r="AH9" i="4"/>
  <c r="AH10" i="4"/>
  <c r="AH14" i="4" l="1"/>
</calcChain>
</file>

<file path=xl/sharedStrings.xml><?xml version="1.0" encoding="utf-8"?>
<sst xmlns="http://schemas.openxmlformats.org/spreadsheetml/2006/main" count="653" uniqueCount="66">
  <si>
    <t>Lista de faltas de funcionários</t>
  </si>
  <si>
    <t>Janeiro</t>
  </si>
  <si>
    <t>Chave de tipo de falta</t>
  </si>
  <si>
    <t>F</t>
  </si>
  <si>
    <t>Férias</t>
  </si>
  <si>
    <t>P</t>
  </si>
  <si>
    <t>Pessoal</t>
  </si>
  <si>
    <t>L</t>
  </si>
  <si>
    <t>Licença médica</t>
  </si>
  <si>
    <t>Personalizado 1</t>
  </si>
  <si>
    <t>Personalizado 2</t>
  </si>
  <si>
    <t>Datas de falta</t>
  </si>
  <si>
    <t>Nome do funcionário</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</si>
  <si>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</si>
  <si>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</si>
  <si>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</si>
  <si>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</si>
  <si>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</si>
  <si>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</si>
  <si>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</si>
  <si>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</si>
  <si>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</si>
  <si>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</si>
  <si>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</si>
  <si>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</si>
  <si>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</si>
  <si>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</si>
  <si>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</si>
  <si>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</si>
  <si>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</si>
  <si>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</si>
  <si>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</si>
  <si>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</si>
  <si>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</si>
  <si>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</si>
  <si>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</si>
  <si>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</si>
  <si>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</si>
  <si>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</si>
  <si>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</si>
  <si>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</si>
  <si>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</si>
  <si>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</si>
  <si>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</si>
  <si>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Total de dias</t>
  </si>
  <si>
    <t>Harsimran Brar</t>
  </si>
  <si>
    <t>Ricardo Cavalcanti</t>
  </si>
  <si>
    <t>Asaf Karten</t>
  </si>
  <si>
    <t>Marina Azevedo</t>
  </si>
  <si>
    <t>Madison Butler</t>
  </si>
  <si>
    <t>V</t>
  </si>
  <si>
    <t>Fevereiro</t>
  </si>
  <si>
    <t xml:space="preserve"> </t>
  </si>
  <si>
    <t xml:space="preserve">  </t>
  </si>
  <si>
    <t>Março</t>
  </si>
  <si>
    <t>Abril</t>
  </si>
  <si>
    <t>Maio</t>
  </si>
  <si>
    <t>Junho</t>
  </si>
  <si>
    <t>Julho</t>
  </si>
  <si>
    <t>Agosto</t>
  </si>
  <si>
    <t>Setembro</t>
  </si>
  <si>
    <t>Outubro</t>
  </si>
  <si>
    <t>Novembro</t>
  </si>
  <si>
    <t>Dezembro</t>
  </si>
  <si>
    <t>Nomes dos funcionários</t>
  </si>
  <si>
    <t>Nomes dos Funcionários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</si>
</sst>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2" formatCode="_-&quot;R$&quot;\ * #,##0_-;\-&quot;R$&quot;\ * #,##0_-;_-&quot;R$&quot;\ * &quot;-&quot;_-;_-@_-"/>
    <numFmt numFmtId="44" formatCode="_-&quot;R$&quot;\ * #,##0.00_-;\-&quot;R$&quot;\ * #,##0.00_-;_-&quot;R$&quot;\ * &quot;-&quot;??_-;_-@_-"/>
    <numFmt numFmtId="164" formatCode="_(* #,##0_);_(* \(#,##0\);_(* &quot;-&quot;_);_(@_)"/>
    <numFmt numFmtId="165" formatCode="_(* #,##0.00_);_(* \(#,##0.00\);_(* &quot;-&quot;??_);_(@_)"/>
    <numFmt numFmtId="166" formatCode="0;0;"/>
  </numFmts>
  <fonts count="33">
    <font>
      <sz val="11"/>
      <color theme="0"/>
      <name val="Calibri"/>
      <family val="2"/>
    </font>
    <font>
      <sz val="11"/>
      <color theme="1"/>
      <name val="Calibri"/>
      <family val="2"/>
      <scheme val="minor"/>
    </font>
    <font>
      <sz val="11"/>
      <color theme="0"/>
      <name val="Calibri"/>
      <family val="2"/>
      <scheme val="minor"/>
    </font>
    <font>
      <sz val="11"/>
      <color rgb="FF000000"/>
      <name val="Calibri"/>
      <family val="2"/>
      <scheme val="minor"/>
    </font>
    <font>
      <b/>
      <sz val="18"/>
      <color theme="3"/>
      <name val="Calibri"/>
      <family val="2"/>
      <scheme val="minor"/>
    </font>
    <font>
      <b/>
      <sz val="11"/>
      <color theme="0"/>
      <name val="Calibri"/>
      <family val="2"/>
      <scheme val="minor"/>
    </font>
    <font>
      <b/>
      <sz val="72"/>
      <color theme="6" tint="0.39997558519241921"/>
      <name val="Calibri"/>
      <family val="2"/>
      <scheme val="minor"/>
    </font>
    <font>
      <sz val="8"/>
      <name val="Calibri"/>
      <family val="2"/>
      <scheme val="minor"/>
    </font>
    <font>
      <b/>
      <sz val="18"/>
      <color theme="4" tint="9.9948118533890809E-2"/>
      <name val="Calibri"/>
      <family val="2"/>
      <scheme val="minor"/>
    </font>
    <font>
      <b/>
      <sz val="72"/>
      <color theme="4" tint="0.249977111117893"/>
      <name val="Calibri"/>
      <family val="2"/>
      <scheme val="minor"/>
    </font>
    <font>
      <b/>
      <sz val="11"/>
      <name val="Calibri"/>
      <family val="2"/>
      <scheme val="minor"/>
    </font>
    <font>
      <b/>
      <sz val="72"/>
      <color theme="7" tint="-0.249977111117893"/>
      <name val="Calibri"/>
      <family val="2"/>
      <scheme val="minor"/>
    </font>
    <font>
      <b/>
      <sz val="72"/>
      <color theme="8" tint="-0.249977111117893"/>
      <name val="Calibri"/>
      <family val="2"/>
      <scheme val="minor"/>
    </font>
    <font>
      <sz val="11"/>
      <color theme="1"/>
      <name val="Calibri"/>
      <family val="2"/>
      <charset val="134"/>
    </font>
    <font>
      <sz val="11"/>
      <color theme="1"/>
      <name val="Calibri"/>
      <family val="2"/>
    </font>
    <font>
      <b/>
      <sz val="11"/>
      <color theme="1"/>
      <name val="Calibri"/>
      <family val="2"/>
    </font>
    <font>
      <sz val="11"/>
      <color theme="0"/>
      <name val="Calibri"/>
      <family val="2"/>
    </font>
    <font>
      <sz val="11"/>
      <color theme="0"/>
      <name val="Calibri"/>
      <family val="2"/>
      <charset val="134"/>
    </font>
    <font>
      <sz val="11"/>
      <color rgb="FF9C0006"/>
      <name val="Calibri"/>
      <family val="2"/>
      <charset val="134"/>
    </font>
    <font>
      <b/>
      <sz val="11"/>
      <color rgb="FFFA7D00"/>
      <name val="Calibri"/>
      <family val="2"/>
      <charset val="134"/>
    </font>
    <font>
      <b/>
      <sz val="11"/>
      <color theme="0"/>
      <name val="Calibri"/>
      <family val="2"/>
      <charset val="134"/>
    </font>
    <font>
      <i/>
      <sz val="11"/>
      <color rgb="FF7F7F7F"/>
      <name val="Calibri"/>
      <family val="2"/>
      <charset val="134"/>
    </font>
    <font>
      <sz val="11"/>
      <color rgb="FF006100"/>
      <name val="Calibri"/>
      <family val="2"/>
      <charset val="134"/>
    </font>
    <font>
      <b/>
      <sz val="26"/>
      <color theme="3" tint="-0.24994659260841701"/>
      <name val="Calibri"/>
      <family val="2"/>
    </font>
    <font>
      <b/>
      <sz val="18"/>
      <color theme="4" tint="-0.24994659260841701"/>
      <name val="Calibri"/>
      <family val="2"/>
    </font>
    <font>
      <sz val="11"/>
      <color rgb="FF3F3F76"/>
      <name val="Calibri"/>
      <family val="2"/>
      <charset val="134"/>
    </font>
    <font>
      <sz val="11"/>
      <color rgb="FFFA7D00"/>
      <name val="Calibri"/>
      <family val="2"/>
      <charset val="134"/>
    </font>
    <font>
      <sz val="11"/>
      <color rgb="FF9C5700"/>
      <name val="Calibri"/>
      <family val="2"/>
      <charset val="134"/>
    </font>
    <font>
      <b/>
      <sz val="11"/>
      <color rgb="FF3F3F3F"/>
      <name val="Calibri"/>
      <family val="2"/>
      <charset val="134"/>
    </font>
    <font>
      <sz val="11"/>
      <color theme="4" tint="-0.499984740745262"/>
      <name val="Calibri"/>
      <family val="2"/>
    </font>
    <font>
      <b/>
      <sz val="26"/>
      <color theme="3"/>
      <name val="Calibri"/>
      <family val="2"/>
    </font>
    <font>
      <sz val="11"/>
      <color rgb="FFFF0000"/>
      <name val="Calibri"/>
      <family val="2"/>
      <charset val="134"/>
    </font>
    <font>
      <sz val="9"/>
      <name val="DengXian"/>
      <family val="3"/>
      <charset val="134"/>
    </font>
  </fonts>
  <fills count="34">
    <fill>
      <patternFill patternType="none"/>
    </fill>
    <fill>
      <patternFill patternType="gray125"/>
    </fill>
    <fill>
      <patternFill patternType="solid">
        <fgColor theme="2"/>
        <bgColor indexed="64"/>
      </patternFill>
    </fill>
    <fill>
      <patternFill patternType="solid">
        <fgColor theme="7"/>
        <bgColor indexed="64"/>
      </patternFill>
    </fill>
    <fill>
      <patternFill patternType="solid">
        <fgColor theme="7" tint="0.79998168889431442"/>
        <bgColor indexed="65"/>
      </patternFill>
    </fill>
    <fill>
      <patternFill patternType="solid">
        <fgColor theme="7" tint="0.39997558519241921"/>
        <bgColor indexed="65"/>
      </patternFill>
    </fill>
    <fill>
      <patternFill patternType="solid">
        <fgColor theme="3" tint="0.79998168889431442"/>
        <bgColor indexed="64"/>
      </patternFill>
    </fill>
    <fill>
      <patternFill patternType="solid">
        <fgColor theme="3" tint="-0.24994659260841701"/>
        <bgColor indexed="64"/>
      </patternFill>
    </fill>
    <fill>
      <patternFill patternType="solid">
        <fgColor theme="3" tint="0.39994506668294322"/>
        <bgColor indexed="64"/>
      </patternFill>
    </fill>
    <fill>
      <patternFill patternType="solid">
        <fgColor theme="7" tint="0.59996337778862885"/>
        <bgColor indexed="64"/>
      </patternFill>
    </fill>
    <fill>
      <patternFill patternType="solid">
        <fgColor theme="5" tint="0.59999389629810485"/>
        <bgColor indexed="65"/>
      </patternFill>
    </fill>
    <fill>
      <patternFill patternType="solid">
        <fgColor theme="6"/>
      </patternFill>
    </fill>
    <fill>
      <patternFill patternType="solid">
        <fgColor theme="6" tint="0.59999389629810485"/>
        <bgColor indexed="65"/>
      </patternFill>
    </fill>
    <fill>
      <patternFill patternType="solid">
        <fgColor theme="6" tint="0.39997558519241921"/>
        <bgColor indexed="65"/>
      </patternFill>
    </fill>
    <fill>
      <patternFill patternType="solid">
        <fgColor theme="8" tint="0.59999389629810485"/>
        <bgColor indexed="65"/>
      </patternFill>
    </fill>
    <fill>
      <patternFill patternType="solid">
        <fgColor theme="4" tint="0.39994506668294322"/>
        <bgColor indexed="64"/>
      </patternFill>
    </fill>
    <fill>
      <patternFill patternType="solid">
        <fgColor theme="4" tint="0.59996337778862885"/>
        <bgColor indexed="64"/>
      </patternFill>
    </fill>
    <fill>
      <patternFill patternType="solid">
        <fgColor theme="4" tint="0.79998168889431442"/>
        <bgColor indexed="64"/>
      </patternFill>
    </fill>
    <fill>
      <patternFill patternType="solid">
        <fgColor rgb="FFF8E3E0"/>
        <bgColor indexed="64"/>
      </patternFill>
    </fill>
    <fill>
      <patternFill patternType="solid">
        <fgColor theme="5" tint="0.39994506668294322"/>
        <bgColor indexed="64"/>
      </patternFill>
    </fill>
    <fill>
      <patternFill patternType="solid">
        <fgColor theme="6" tint="0.59996337778862885"/>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5" tint="0.79998168889431442"/>
        <bgColor indexed="65"/>
      </patternFill>
    </fill>
    <fill>
      <patternFill patternType="solid">
        <fgColor theme="5"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39997558519241921"/>
        <bgColor indexed="65"/>
      </patternFill>
    </fill>
  </fills>
  <borders count="10">
    <border>
      <left/>
      <right/>
      <top/>
      <bottom/>
      <diagonal/>
    </border>
    <border>
      <left/>
      <right/>
      <top/>
      <bottom style="thin">
        <color theme="4"/>
      </bottom>
      <diagonal/>
    </border>
    <border>
      <left/>
      <right/>
      <top style="thin">
        <color theme="4"/>
      </top>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horizontal="left" vertical="center"/>
    </xf>
    <xf numFmtId="0" fontId="30" fillId="0" borderId="0" applyNumberFormat="0" applyFill="0" applyBorder="0" applyProtection="0">
      <alignment vertical="top"/>
    </xf>
    <xf numFmtId="0" fontId="23" fillId="0" borderId="0" applyNumberFormat="0" applyFill="0" applyBorder="0" applyProtection="0">
      <alignment vertical="top"/>
    </xf>
    <xf numFmtId="0" fontId="24" fillId="2" borderId="0" applyNumberFormat="0" applyBorder="0" applyProtection="0">
      <alignment horizontal="center" vertical="center"/>
    </xf>
    <xf numFmtId="0" fontId="15" fillId="20" borderId="0" applyNumberFormat="0" applyProtection="0">
      <alignment horizontal="right" vertical="center" indent="1"/>
    </xf>
    <xf numFmtId="0" fontId="14" fillId="0" borderId="0" applyNumberFormat="0" applyFill="0" applyBorder="0" applyProtection="0">
      <alignment horizontal="left" vertical="center" indent="2"/>
    </xf>
    <xf numFmtId="0" fontId="16" fillId="3" borderId="0" applyNumberFormat="0" applyBorder="0" applyAlignment="0" applyProtection="0"/>
    <xf numFmtId="0" fontId="14" fillId="4" borderId="0" applyNumberFormat="0" applyBorder="0" applyProtection="0">
      <alignment horizontal="center" vertical="center"/>
    </xf>
    <xf numFmtId="0" fontId="15" fillId="9" borderId="0" applyNumberFormat="0" applyBorder="0" applyAlignment="0" applyProtection="0"/>
    <xf numFmtId="0" fontId="14" fillId="5" borderId="0" applyNumberFormat="0" applyBorder="0" applyAlignment="0" applyProtection="0"/>
    <xf numFmtId="0" fontId="16" fillId="7" borderId="0" applyNumberFormat="0" applyBorder="0" applyAlignment="0" applyProtection="0"/>
    <xf numFmtId="0" fontId="14" fillId="6" borderId="0" applyNumberFormat="0" applyBorder="0" applyAlignment="0" applyProtection="0"/>
    <xf numFmtId="0" fontId="15" fillId="15" borderId="0" applyNumberFormat="0" applyBorder="0" applyAlignment="0" applyProtection="0"/>
    <xf numFmtId="0" fontId="14" fillId="8" borderId="0" applyNumberFormat="0" applyBorder="0" applyAlignment="0" applyProtection="0"/>
    <xf numFmtId="0" fontId="16" fillId="15" borderId="0" applyNumberFormat="0" applyBorder="0" applyAlignment="0" applyProtection="0"/>
    <xf numFmtId="0" fontId="14" fillId="18" borderId="0" applyNumberFormat="0" applyBorder="0" applyAlignment="0" applyProtection="0"/>
    <xf numFmtId="0" fontId="15" fillId="17" borderId="0" applyNumberFormat="0" applyBorder="0" applyAlignment="0" applyProtection="0"/>
    <xf numFmtId="0" fontId="16" fillId="16" borderId="0" applyNumberFormat="0" applyBorder="0" applyAlignment="0" applyProtection="0"/>
    <xf numFmtId="0" fontId="16" fillId="19"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4" fillId="2" borderId="0" applyNumberFormat="0" applyBorder="0" applyAlignment="0" applyProtection="0"/>
    <xf numFmtId="0" fontId="15" fillId="12" borderId="0" applyNumberFormat="0" applyBorder="0" applyProtection="0">
      <alignment horizontal="left" vertical="center" indent="1"/>
    </xf>
    <xf numFmtId="0" fontId="15" fillId="13" borderId="0" applyNumberFormat="0" applyBorder="0" applyAlignment="0" applyProtection="0"/>
    <xf numFmtId="0" fontId="15" fillId="14" borderId="0" applyNumberFormat="0" applyBorder="0" applyAlignment="0" applyProtection="0"/>
    <xf numFmtId="1" fontId="14" fillId="0" borderId="0" applyFill="0" applyBorder="0" applyProtection="0">
      <alignment horizontal="center" vertical="center"/>
    </xf>
    <xf numFmtId="0" fontId="14" fillId="0" borderId="0" applyNumberFormat="0" applyFill="0" applyBorder="0">
      <alignment horizontal="left" vertical="center" wrapText="1" indent="2"/>
    </xf>
    <xf numFmtId="0" fontId="29" fillId="0" borderId="0">
      <alignment horizontal="center"/>
    </xf>
    <xf numFmtId="165" fontId="16" fillId="0" borderId="0" applyFont="0" applyFill="0" applyBorder="0" applyAlignment="0" applyProtection="0">
      <alignment vertical="center"/>
    </xf>
    <xf numFmtId="164" fontId="16" fillId="0" borderId="0" applyFont="0" applyFill="0" applyBorder="0" applyAlignment="0" applyProtection="0">
      <alignment vertical="center"/>
    </xf>
    <xf numFmtId="44" fontId="16" fillId="0" borderId="0" applyFont="0" applyFill="0" applyBorder="0" applyAlignment="0" applyProtection="0">
      <alignment vertical="center"/>
    </xf>
    <xf numFmtId="42"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2" fillId="22" borderId="0" applyNumberFormat="0" applyBorder="0" applyAlignment="0" applyProtection="0">
      <alignment vertical="center"/>
    </xf>
    <xf numFmtId="0" fontId="18" fillId="23" borderId="0" applyNumberFormat="0" applyBorder="0" applyAlignment="0" applyProtection="0">
      <alignment vertical="center"/>
    </xf>
    <xf numFmtId="0" fontId="27" fillId="24" borderId="0" applyNumberFormat="0" applyBorder="0" applyAlignment="0" applyProtection="0">
      <alignment vertical="center"/>
    </xf>
    <xf numFmtId="0" fontId="25" fillId="25" borderId="5" applyNumberFormat="0" applyAlignment="0" applyProtection="0">
      <alignment vertical="center"/>
    </xf>
    <xf numFmtId="0" fontId="28" fillId="26" borderId="6" applyNumberFormat="0" applyAlignment="0" applyProtection="0">
      <alignment vertical="center"/>
    </xf>
    <xf numFmtId="0" fontId="19" fillId="26" borderId="5" applyNumberFormat="0" applyAlignment="0" applyProtection="0">
      <alignment vertical="center"/>
    </xf>
    <xf numFmtId="0" fontId="26" fillId="0" borderId="7" applyNumberFormat="0" applyFill="0" applyAlignment="0" applyProtection="0">
      <alignment vertical="center"/>
    </xf>
    <xf numFmtId="0" fontId="20" fillId="27" borderId="8" applyNumberFormat="0" applyAlignment="0" applyProtection="0">
      <alignment vertical="center"/>
    </xf>
    <xf numFmtId="0" fontId="31" fillId="0" borderId="0" applyNumberFormat="0" applyFill="0" applyBorder="0" applyAlignment="0" applyProtection="0">
      <alignment vertical="center"/>
    </xf>
    <xf numFmtId="0" fontId="16" fillId="28" borderId="9" applyNumberFormat="0" applyFont="0" applyAlignment="0" applyProtection="0">
      <alignment vertical="center"/>
    </xf>
    <xf numFmtId="0" fontId="21" fillId="0" borderId="0" applyNumberFormat="0" applyFill="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7"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cellStyleXfs>
  <cellXfs count="37">
    <xf numFmtId="0" fontId="0" fillId="0" borderId="0" xfId="0">
      <alignment horizontal="left" vertical="center"/>
    </xf>
    <xf numFmtId="0" fontId="0" fillId="0" borderId="0" xfId="0" applyAlignment="1">
      <alignment horizontal="center" vertical="center"/>
    </xf>
    <xf numFmtId="0" fontId="14" fillId="0" borderId="0" xfId="26" applyFill="1" applyBorder="1">
      <alignment horizontal="left" vertical="center" wrapText="1" indent="2"/>
    </xf>
    <xf numFmtId="1" fontId="14" fillId="0" borderId="0" xfId="25" applyFill="1" applyBorder="1" applyProtection="1">
      <alignment horizontal="center" vertical="center"/>
    </xf>
    <xf numFmtId="166" fontId="0" fillId="0" borderId="0" xfId="0" applyNumberFormat="1" applyAlignment="1">
      <alignment horizontal="center" vertical="center"/>
    </xf>
    <xf numFmtId="0" fontId="0" fillId="0" borderId="0" xfId="0" applyAlignment="1">
      <alignment horizontal="left" vertical="center" indent="1"/>
    </xf>
    <xf numFmtId="0" fontId="3" fillId="0" borderId="0" xfId="0" applyFont="1" applyAlignment="1"/>
    <xf numFmtId="0" fontId="24" fillId="0" borderId="0" xfId="3" applyFill="1" applyProtection="1">
      <alignment horizontal="center" vertical="center"/>
    </xf>
    <xf numFmtId="0" fontId="15" fillId="0" borderId="0" xfId="4" applyFill="1" applyAlignment="1" applyProtection="1">
      <alignment horizontal="left" vertical="center" indent="1"/>
    </xf>
    <xf numFmtId="0" fontId="0" fillId="0" borderId="1" xfId="0" applyBorder="1">
      <alignment horizontal="left" vertical="center"/>
    </xf>
    <xf numFmtId="0" fontId="30" fillId="0" borderId="2" xfId="1" applyBorder="1" applyAlignment="1" applyProtection="1">
      <alignment vertical="center"/>
    </xf>
    <xf numFmtId="0" fontId="0" fillId="0" borderId="2" xfId="0" applyBorder="1">
      <alignment horizontal="left" vertical="center"/>
    </xf>
    <xf numFmtId="0" fontId="0" fillId="0" borderId="0" xfId="0" applyAlignment="1">
      <alignment horizontal="left" vertical="top"/>
    </xf>
    <xf numFmtId="0" fontId="4" fillId="0" borderId="0" xfId="1" applyFont="1" applyAlignment="1" applyProtection="1">
      <alignment horizontal="left" indent="1"/>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indent="1"/>
    </xf>
    <xf numFmtId="0" fontId="0" fillId="0" borderId="4" xfId="0" applyBorder="1">
      <alignment horizontal="left" vertical="center"/>
    </xf>
    <xf numFmtId="0" fontId="29" fillId="0" borderId="4" xfId="27" applyBorder="1">
      <alignment horizontal="center"/>
    </xf>
    <xf numFmtId="166" fontId="5" fillId="9" borderId="0" xfId="8" applyNumberFormat="1" applyFont="1" applyAlignment="1" applyProtection="1">
      <alignment horizontal="center" vertical="center"/>
    </xf>
    <xf numFmtId="166" fontId="5" fillId="3" borderId="0" xfId="24" applyNumberFormat="1" applyFont="1" applyFill="1" applyAlignment="1" applyProtection="1">
      <alignment horizontal="center" vertical="center"/>
    </xf>
    <xf numFmtId="0" fontId="2" fillId="0" borderId="0" xfId="0" applyFont="1" applyAlignment="1">
      <alignment horizontal="center" vertical="center"/>
    </xf>
    <xf numFmtId="0" fontId="14" fillId="0" borderId="0" xfId="21" applyFill="1" applyBorder="1" applyAlignment="1" applyProtection="1">
      <alignment horizontal="left" vertical="center" indent="1"/>
    </xf>
    <xf numFmtId="0" fontId="1" fillId="0" borderId="0" xfId="0" applyFont="1" applyAlignment="1">
      <alignment horizontal="center" vertical="center"/>
    </xf>
    <xf numFmtId="0" fontId="14" fillId="21" borderId="0" xfId="21" applyFill="1" applyBorder="1" applyAlignment="1" applyProtection="1">
      <alignment horizontal="center" vertical="center"/>
    </xf>
    <xf numFmtId="0" fontId="6" fillId="0" borderId="0" xfId="3" applyFont="1" applyFill="1" applyAlignment="1" applyProtection="1">
      <alignment horizontal="left" vertical="top"/>
    </xf>
    <xf numFmtId="0" fontId="8" fillId="0" borderId="0" xfId="1" applyFont="1" applyAlignment="1" applyProtection="1">
      <alignment horizontal="left" indent="1"/>
    </xf>
    <xf numFmtId="0" fontId="9" fillId="0" borderId="0" xfId="3" applyFont="1" applyFill="1" applyAlignment="1" applyProtection="1">
      <alignment vertical="top"/>
    </xf>
    <xf numFmtId="0" fontId="9" fillId="0" borderId="0" xfId="3" applyFont="1" applyFill="1" applyAlignment="1" applyProtection="1">
      <alignment horizontal="left" vertical="top"/>
    </xf>
    <xf numFmtId="0" fontId="10" fillId="10" borderId="0" xfId="19" applyFont="1" applyAlignment="1" applyProtection="1">
      <alignment horizontal="center" vertical="center"/>
    </xf>
    <xf numFmtId="0" fontId="10" fillId="13" borderId="0" xfId="23" applyFont="1" applyAlignment="1" applyProtection="1">
      <alignment horizontal="center" vertical="center"/>
    </xf>
    <xf numFmtId="0" fontId="10" fillId="15" borderId="0" xfId="12" applyFont="1" applyAlignment="1" applyProtection="1">
      <alignment horizontal="center" vertical="center"/>
    </xf>
    <xf numFmtId="0" fontId="11" fillId="0" borderId="0" xfId="3" applyFont="1" applyFill="1" applyAlignment="1" applyProtection="1">
      <alignment horizontal="left" vertical="top"/>
    </xf>
    <xf numFmtId="0" fontId="12" fillId="0" borderId="0" xfId="3" applyFont="1" applyFill="1" applyAlignment="1" applyProtection="1">
      <alignment horizontal="left" vertical="top"/>
    </xf>
    <xf numFmtId="0" fontId="12" fillId="0" borderId="0" xfId="3" applyFont="1" applyFill="1" applyAlignment="1" applyProtection="1">
      <alignment vertical="top"/>
    </xf>
    <xf numFmtId="0" fontId="24" fillId="0" borderId="0" xfId="3" applyFill="1" applyAlignment="1" applyProtection="1">
      <alignment horizontal="left" vertical="center"/>
    </xf>
    <xf numFmtId="0" fontId="14" fillId="0" borderId="0" xfId="21" applyFill="1" applyAlignment="1" applyProtection="1">
      <alignment horizontal="left" vertical="center" indent="1"/>
    </xf>
  </cellXfs>
  <cellStyles count="49">
    <cellStyle name="20% - Ênfase1" xfId="15" builtinId="30" customBuiltin="1"/>
    <cellStyle name="20% - Ênfase2" xfId="44" builtinId="34" customBuiltin="1"/>
    <cellStyle name="20% - Ênfase3" xfId="21" builtinId="38" customBuiltin="1"/>
    <cellStyle name="20% - Ênfase4" xfId="7" builtinId="42" customBuiltin="1"/>
    <cellStyle name="20% - Ênfase5" xfId="47" builtinId="46" customBuiltin="1"/>
    <cellStyle name="20% - Ênfase6" xfId="11" builtinId="50" customBuiltin="1"/>
    <cellStyle name="40% - Ênfase1" xfId="16" builtinId="31" customBuiltin="1"/>
    <cellStyle name="40% - Ênfase2" xfId="19" builtinId="35" customBuiltin="1"/>
    <cellStyle name="40% - Ênfase3" xfId="22" builtinId="39" customBuiltin="1"/>
    <cellStyle name="40% - Ênfase4" xfId="8" builtinId="43" customBuiltin="1"/>
    <cellStyle name="40% - Ênfase5" xfId="24" builtinId="47" customBuiltin="1"/>
    <cellStyle name="40% - Ênfase6" xfId="12" builtinId="51" customBuiltin="1"/>
    <cellStyle name="60% - Ênfase1" xfId="17" builtinId="32" customBuiltin="1"/>
    <cellStyle name="60% - Ênfase2" xfId="45" builtinId="36" customBuiltin="1"/>
    <cellStyle name="60% - Ênfase3" xfId="23" builtinId="40" customBuiltin="1"/>
    <cellStyle name="60% - Ênfase4" xfId="9" builtinId="44" customBuiltin="1"/>
    <cellStyle name="60% - Ênfase5" xfId="48" builtinId="48" customBuiltin="1"/>
    <cellStyle name="60% - Ênfase6" xfId="13" builtinId="52" customBuiltin="1"/>
    <cellStyle name="Bom" xfId="33" builtinId="26" customBuiltin="1"/>
    <cellStyle name="Cálculo" xfId="38" builtinId="22" customBuiltin="1"/>
    <cellStyle name="Célula de Verificação" xfId="40" builtinId="23" customBuiltin="1"/>
    <cellStyle name="Célula Vinculada" xfId="39" builtinId="24" customBuiltin="1"/>
    <cellStyle name="Ênfase1" xfId="14" builtinId="29" customBuiltin="1"/>
    <cellStyle name="Ênfase2" xfId="18" builtinId="33" customBuiltin="1"/>
    <cellStyle name="Ênfase3" xfId="20" builtinId="37" customBuiltin="1"/>
    <cellStyle name="Ênfase4" xfId="6" builtinId="41" customBuiltin="1"/>
    <cellStyle name="Ênfase5" xfId="46" builtinId="45" customBuiltin="1"/>
    <cellStyle name="Ênfase6" xfId="10" builtinId="49" customBuiltin="1"/>
    <cellStyle name="Entrada" xfId="36" builtinId="20" customBuiltin="1"/>
    <cellStyle name="Funcionário" xfId="26" xr:uid="{00000000-0005-0000-0000-000013000000}"/>
    <cellStyle name="Moeda" xfId="30" builtinId="4" customBuiltin="1"/>
    <cellStyle name="Moeda [0]" xfId="31" builtinId="7" customBuiltin="1"/>
    <cellStyle name="Neutro" xfId="35" builtinId="28" customBuiltin="1"/>
    <cellStyle name="Normal" xfId="0" builtinId="0" customBuiltin="1"/>
    <cellStyle name="Nota" xfId="42" builtinId="10" customBuiltin="1"/>
    <cellStyle name="Porcentagem" xfId="32" builtinId="5" customBuiltin="1"/>
    <cellStyle name="Rótulo" xfId="27" xr:uid="{00000000-0005-0000-0000-000018000000}"/>
    <cellStyle name="Ruim" xfId="34" builtinId="27" customBuiltin="1"/>
    <cellStyle name="Saída" xfId="37" builtinId="21" customBuiltin="1"/>
    <cellStyle name="Separador de milhares [0]" xfId="29" builtinId="6" customBuiltin="1"/>
    <cellStyle name="Texto de Aviso" xfId="41" builtinId="11" customBuiltin="1"/>
    <cellStyle name="Texto Explicativo" xfId="43"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25" builtinId="25" customBuiltin="1"/>
    <cellStyle name="Vírgula" xfId="28" builtinId="3" customBuiltin="1"/>
  </cellStyles>
  <dxfs count="911">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0" formatCode="General"/>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protection locked="1" hidden="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ont>
        <b val="0"/>
        <i val="0"/>
        <strike val="0"/>
        <outline val="0"/>
        <shadow val="0"/>
        <u val="none"/>
        <vertAlign val="baseline"/>
        <sz val="11"/>
        <color theme="0"/>
        <name val="Calibri"/>
        <family val="2"/>
        <scheme val="minor"/>
      </font>
      <protection locked="1" hidden="0"/>
    </dxf>
    <dxf>
      <numFmt numFmtId="166" formatCode="0;0;"/>
      <alignment horizontal="center" vertical="center" textRotation="0" wrapText="0" indent="0" justifyLastLine="0" shrinkToFit="0" readingOrder="0"/>
    </dxf>
    <dxf>
      <fill>
        <patternFill patternType="none">
          <fgColor indexed="64"/>
          <bgColor indexed="65"/>
        </patternFill>
      </fill>
      <protection locked="1" hidden="0"/>
    </dxf>
    <dxf>
      <alignment horizontal="left" vertical="center" textRotation="0" wrapText="0" indent="1" justifyLastLine="0" shrinkToFit="0" readingOrder="0"/>
    </dxf>
    <dxf>
      <protection locked="1" hidden="0"/>
    </dxf>
    <dxf>
      <protection locked="1" hidden="0"/>
    </dxf>
    <dxf>
      <protection locked="1" hidden="0"/>
    </dxf>
    <dxf>
      <font>
        <b val="0"/>
        <i val="0"/>
        <color theme="3"/>
      </font>
      <border>
        <vertical/>
        <horizontal/>
      </border>
    </dxf>
    <dxf>
      <font>
        <color theme="0"/>
      </font>
      <border>
        <vertical/>
        <horizontal/>
      </border>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protection locked="1" hidden="0"/>
    </dxf>
    <dxf>
      <numFmt numFmtId="166" formatCode="0;0;"/>
      <alignment horizontal="center" vertical="center" textRotation="0" wrapText="0" indent="0" justifyLastLine="0" shrinkToFit="0" readingOrder="0"/>
    </dxf>
    <dxf>
      <fill>
        <patternFill patternType="none">
          <fgColor indexed="64"/>
          <bgColor indexed="65"/>
        </patternFill>
      </fill>
    </dxf>
    <dxf>
      <alignment horizontal="left" vertical="center" textRotation="0" wrapText="0" indent="1" justifyLastLine="0" shrinkToFit="0" readingOrder="0"/>
    </dxf>
    <dxf>
      <protection locked="1" hidden="0"/>
    </dxf>
    <dxf>
      <protection locked="1" hidden="0"/>
    </dxf>
    <dxf>
      <alignment horizontal="center" vertical="center" textRotation="0" wrapText="0" indent="0" justifyLastLine="0" shrinkToFit="0" readingOrder="0"/>
    </dxf>
    <dxf>
      <font>
        <color theme="1"/>
      </font>
      <fill>
        <patternFill>
          <bgColor theme="4" tint="0.39994506668294322"/>
        </patternFill>
      </fill>
    </dxf>
    <dxf>
      <font>
        <color theme="1"/>
      </font>
      <fill>
        <patternFill>
          <bgColor theme="5" tint="0.59996337778862885"/>
        </patternFill>
      </fill>
    </dxf>
    <dxf>
      <font>
        <color theme="1"/>
      </font>
      <fill>
        <patternFill>
          <bgColor theme="6" tint="0.39994506668294322"/>
        </patternFill>
      </fill>
    </dxf>
    <dxf>
      <font>
        <color theme="1"/>
      </font>
      <fill>
        <patternFill>
          <bgColor theme="7" tint="0.59996337778862885"/>
        </patternFill>
      </fill>
    </dxf>
    <dxf>
      <font>
        <color theme="1"/>
      </font>
      <fill>
        <patternFill>
          <bgColor theme="8" tint="0.59996337778862885"/>
        </patternFill>
      </fill>
    </dxf>
    <dxf>
      <fill>
        <patternFill patternType="solid">
          <bgColor theme="5" tint="0.39994506668294322"/>
        </patternFill>
      </fill>
      <border diagonalUp="0" diagonalDown="0">
        <left/>
        <right/>
        <top style="thin">
          <color theme="5" tint="0.59996337778862885"/>
        </top>
        <bottom style="thick">
          <color theme="5"/>
        </bottom>
        <vertical style="thick">
          <color theme="0"/>
        </vertical>
        <horizontal style="thin">
          <color theme="5" tint="0.59996337778862885"/>
        </horizontal>
      </border>
    </dxf>
    <dxf>
      <font>
        <color theme="1"/>
      </font>
      <fill>
        <patternFill patternType="solid">
          <bgColor theme="5" tint="0.39994506668294322"/>
        </patternFill>
      </fill>
      <border diagonalUp="0" diagonalDown="0">
        <left/>
        <right/>
        <top style="thin">
          <color theme="5" tint="0.59996337778862885"/>
        </top>
        <bottom style="thick">
          <color theme="5"/>
        </bottom>
        <vertical style="thick">
          <color theme="0"/>
        </vertical>
        <horizontal style="thin">
          <color theme="5" tint="0.59996337778862885"/>
        </horizontal>
      </border>
    </dxf>
    <dxf>
      <font>
        <color theme="1"/>
      </font>
      <fill>
        <patternFill patternType="solid">
          <bgColor theme="2"/>
        </patternFill>
      </fill>
      <border diagonalUp="0" diagonalDown="0">
        <left/>
        <right/>
        <top/>
        <bottom style="thin">
          <color theme="0" tint="-0.14996795556505021"/>
        </bottom>
        <vertical/>
        <horizontal/>
      </border>
    </dxf>
    <dxf>
      <font>
        <color theme="1"/>
      </font>
      <fill>
        <patternFill patternType="none">
          <bgColor auto="1"/>
        </patternFill>
      </fill>
      <border diagonalUp="0" diagonalDown="0">
        <left/>
        <right/>
        <top style="thin">
          <color theme="0" tint="-0.14996795556505021"/>
        </top>
        <bottom style="thin">
          <color theme="0" tint="-0.14993743705557422"/>
        </bottom>
        <vertical/>
        <horizontal/>
      </border>
    </dxf>
    <dxf>
      <fill>
        <patternFill>
          <bgColor theme="0" tint="-0.14996795556505021"/>
        </patternFill>
      </fill>
      <border>
        <left style="thin">
          <color theme="0"/>
        </left>
        <right style="thin">
          <color theme="0"/>
        </right>
        <vertical style="thin">
          <color theme="0"/>
        </vertical>
      </border>
    </dxf>
    <dxf>
      <fill>
        <patternFill>
          <bgColor theme="0" tint="-4.9989318521683403E-2"/>
        </patternFill>
      </fill>
      <border>
        <left style="thin">
          <color theme="0"/>
        </left>
        <right style="thin">
          <color theme="0"/>
        </right>
        <top style="thick">
          <color theme="5" tint="0.59996337778862885"/>
        </top>
        <bottom style="thick">
          <color theme="5" tint="0.59996337778862885"/>
        </bottom>
        <vertical style="thin">
          <color theme="0"/>
        </vertical>
        <horizontal style="thick">
          <color theme="5" tint="0.59996337778862885"/>
        </horizontal>
      </border>
    </dxf>
    <dxf>
      <fill>
        <patternFill>
          <bgColor theme="5" tint="0.79998168889431442"/>
        </patternFill>
      </fill>
      <border>
        <top style="thick">
          <color theme="0"/>
        </top>
        <bottom style="thick">
          <color theme="0"/>
        </bottom>
        <horizontal style="thick">
          <color theme="0"/>
        </horizontal>
      </border>
    </dxf>
    <dxf>
      <fill>
        <patternFill patternType="none">
          <fgColor auto="1"/>
          <bgColor auto="1"/>
        </patternFill>
      </fill>
      <border>
        <top style="thick">
          <color theme="0"/>
        </top>
        <bottom style="thick">
          <color theme="0"/>
        </bottom>
        <horizontal style="thick">
          <color theme="0"/>
        </horizontal>
      </border>
    </dxf>
    <dxf>
      <font>
        <b/>
        <i val="0"/>
        <color theme="1"/>
      </font>
      <fill>
        <patternFill patternType="none">
          <bgColor auto="1"/>
        </patternFill>
      </fill>
      <border diagonalUp="0" diagonalDown="0">
        <left/>
        <right/>
        <top style="thin">
          <color theme="5" tint="0.59996337778862885"/>
        </top>
        <bottom style="thin">
          <color theme="5" tint="0.59996337778862885"/>
        </bottom>
        <vertical/>
        <horizontal style="thin">
          <color theme="5" tint="0.59996337778862885"/>
        </horizontal>
      </border>
    </dxf>
    <dxf>
      <font>
        <color theme="1"/>
      </font>
      <fill>
        <patternFill patternType="none">
          <bgColor auto="1"/>
        </patternFill>
      </fill>
      <border>
        <left/>
        <right/>
        <top style="thin">
          <color theme="5" tint="0.59996337778862885"/>
        </top>
        <bottom style="thin">
          <color theme="5" tint="0.59996337778862885"/>
        </bottom>
        <vertical/>
        <horizontal style="thin">
          <color theme="5" tint="0.59996337778862885"/>
        </horizontal>
      </border>
    </dxf>
    <dxf>
      <font>
        <color theme="1"/>
      </font>
      <fill>
        <patternFill>
          <bgColor theme="5" tint="0.39994506668294322"/>
        </patternFill>
      </fill>
      <border diagonalUp="0" diagonalDown="0">
        <left style="thin">
          <color theme="0"/>
        </left>
        <right style="thin">
          <color theme="0"/>
        </right>
        <top style="thick">
          <color theme="0"/>
        </top>
        <bottom style="thick">
          <color theme="5"/>
        </bottom>
        <vertical style="thick">
          <color theme="0"/>
        </vertical>
        <horizontal/>
      </border>
    </dxf>
    <dxf>
      <font>
        <color theme="0"/>
      </font>
      <fill>
        <patternFill>
          <bgColor theme="5" tint="-0.24994659260841701"/>
        </patternFill>
      </fill>
      <border>
        <top style="thin">
          <color theme="5" tint="0.59996337778862885"/>
        </top>
        <bottom style="thin">
          <color theme="5" tint="0.59996337778862885"/>
        </bottom>
        <horizontal style="thin">
          <color theme="5" tint="0.59996337778862885"/>
        </horizontal>
      </border>
    </dxf>
    <dxf>
      <font>
        <b/>
        <i val="0"/>
        <color theme="0"/>
      </font>
      <border diagonalUp="0" diagonalDown="0">
        <left/>
        <right/>
        <top/>
        <bottom style="thick">
          <color theme="0"/>
        </bottom>
        <vertical style="thick">
          <color theme="0"/>
        </vertical>
        <horizontal style="thick">
          <color theme="0"/>
        </horizontal>
      </border>
    </dxf>
    <dxf>
      <fill>
        <patternFill patternType="solid">
          <fgColor theme="5" tint="0.39994506668294322"/>
          <bgColor theme="5" tint="0.39991454817346722"/>
        </patternFill>
      </fill>
      <border diagonalUp="0" diagonalDown="0">
        <left/>
        <right/>
        <top style="thin">
          <color theme="5" tint="0.59996337778862885"/>
        </top>
        <bottom style="thick">
          <color theme="5"/>
        </bottom>
        <vertical style="thick">
          <color theme="0"/>
        </vertical>
        <horizontal style="thin">
          <color theme="5" tint="0.59996337778862885"/>
        </horizontal>
      </border>
    </dxf>
    <dxf>
      <font>
        <color theme="1"/>
      </font>
      <fill>
        <patternFill patternType="solid">
          <fgColor theme="5" tint="0.39994506668294322"/>
          <bgColor theme="5" tint="0.39991454817346722"/>
        </patternFill>
      </fill>
      <border diagonalUp="0" diagonalDown="0">
        <left/>
        <right/>
        <top style="thin">
          <color theme="5" tint="0.59996337778862885"/>
        </top>
        <bottom style="thick">
          <color theme="5"/>
        </bottom>
        <vertical style="thick">
          <color theme="0"/>
        </vertical>
        <horizontal style="thin">
          <color theme="5" tint="0.59996337778862885"/>
        </horizontal>
      </border>
    </dxf>
    <dxf>
      <font>
        <color auto="1"/>
      </font>
      <fill>
        <patternFill patternType="none">
          <bgColor auto="1"/>
        </patternFill>
      </fill>
      <border diagonalUp="0" diagonalDown="0">
        <left/>
        <right/>
        <top style="thin">
          <color theme="5" tint="0.59996337778862885"/>
        </top>
        <bottom style="thin">
          <color theme="5" tint="0.59996337778862885"/>
        </bottom>
        <vertical/>
        <horizontal style="thin">
          <color theme="5" tint="0.59996337778862885"/>
        </horizontal>
      </border>
    </dxf>
    <dxf>
      <font>
        <color auto="1"/>
      </font>
      <fill>
        <patternFill patternType="none">
          <bgColor auto="1"/>
        </patternFill>
      </fill>
      <border diagonalUp="0" diagonalDown="0">
        <left/>
        <right/>
        <top style="thin">
          <color theme="5" tint="0.59996337778862885"/>
        </top>
        <bottom style="thin">
          <color theme="5" tint="0.59996337778862885"/>
        </bottom>
        <vertical/>
        <horizontal style="thin">
          <color theme="5" tint="0.59996337778862885"/>
        </horizontal>
      </border>
    </dxf>
    <dxf>
      <fill>
        <patternFill>
          <bgColor theme="5" tint="0.79998168889431442"/>
        </patternFill>
      </fill>
      <border>
        <top style="thick">
          <color theme="0"/>
        </top>
        <bottom style="thick">
          <color theme="0"/>
        </bottom>
        <horizontal style="thick">
          <color theme="0"/>
        </horizontal>
      </border>
    </dxf>
    <dxf>
      <fill>
        <patternFill patternType="none">
          <fgColor auto="1"/>
          <bgColor auto="1"/>
        </patternFill>
      </fill>
      <border>
        <top style="thick">
          <color theme="0"/>
        </top>
        <bottom style="thick">
          <color theme="0"/>
        </bottom>
        <horizontal style="thick">
          <color theme="0"/>
        </horizontal>
      </border>
    </dxf>
    <dxf>
      <font>
        <color auto="1"/>
      </font>
      <fill>
        <patternFill>
          <fgColor theme="5" tint="0.39994506668294322"/>
          <bgColor theme="5" tint="0.39991454817346722"/>
        </patternFill>
      </fill>
      <border diagonalUp="0" diagonalDown="0">
        <left style="thin">
          <color theme="0"/>
        </left>
        <right style="thin">
          <color theme="0"/>
        </right>
        <top style="thin">
          <color theme="5" tint="0.59996337778862885"/>
        </top>
        <bottom style="thick">
          <color theme="5"/>
        </bottom>
        <vertical style="thick">
          <color theme="0"/>
        </vertical>
        <horizontal style="thin">
          <color theme="5" tint="0.59996337778862885"/>
        </horizontal>
      </border>
    </dxf>
    <dxf>
      <font>
        <color theme="0"/>
      </font>
      <fill>
        <patternFill>
          <fgColor theme="5" tint="-0.24994659260841701"/>
          <bgColor theme="5" tint="-0.24994659260841701"/>
        </patternFill>
      </fill>
      <border>
        <top style="thin">
          <color theme="5" tint="0.59996337778862885"/>
        </top>
        <bottom style="thin">
          <color theme="5" tint="0.59996337778862885"/>
        </bottom>
        <horizontal style="thin">
          <color theme="5" tint="0.59996337778862885"/>
        </horizontal>
      </border>
    </dxf>
    <dxf>
      <font>
        <b/>
        <i val="0"/>
        <color auto="1"/>
      </font>
      <border diagonalUp="0" diagonalDown="0">
        <left style="thin">
          <color theme="0"/>
        </left>
        <right/>
        <top style="thin">
          <color theme="0"/>
        </top>
        <bottom style="thin">
          <color theme="0"/>
        </bottom>
        <vertical style="thick">
          <color theme="0"/>
        </vertical>
        <horizontal style="thick">
          <color theme="0"/>
        </horizontal>
      </border>
    </dxf>
  </dxfs>
  <tableStyles count="2" defaultPivotStyle="PivotStyleLight16">
    <tableStyle name="Tabela de Faltas dos Funcionários" pivot="0" count="9" xr9:uid="{00000000-0011-0000-FFFF-FFFF00000000}">
      <tableStyleElement type="wholeTable" dxfId="910"/>
      <tableStyleElement type="headerRow" dxfId="909"/>
      <tableStyleElement type="totalRow" dxfId="908"/>
      <tableStyleElement type="firstRowStripe" dxfId="907"/>
      <tableStyleElement type="secondRowStripe" dxfId="906"/>
      <tableStyleElement type="firstHeaderCell" dxfId="905"/>
      <tableStyleElement type="lastHeaderCell" dxfId="904"/>
      <tableStyleElement type="firstTotalCell" dxfId="903"/>
      <tableStyleElement type="lastTotalCell" dxfId="902"/>
    </tableStyle>
    <tableStyle name="Tabela de Faltas dos Funcionários 2" pivot="0" count="13" xr9:uid="{3374F2B5-EC6B-E245-A90B-F84953DFCF99}">
      <tableStyleElement type="wholeTable" dxfId="901"/>
      <tableStyleElement type="headerRow" dxfId="900"/>
      <tableStyleElement type="totalRow" dxfId="899"/>
      <tableStyleElement type="firstColumn" dxfId="898"/>
      <tableStyleElement type="lastColumn" dxfId="897"/>
      <tableStyleElement type="firstRowStripe" dxfId="896"/>
      <tableStyleElement type="secondRowStripe" dxfId="895"/>
      <tableStyleElement type="firstColumnStripe" dxfId="894"/>
      <tableStyleElement type="secondColumnStripe" dxfId="893"/>
      <tableStyleElement type="firstHeaderCell" dxfId="892"/>
      <tableStyleElement type="lastHeaderCell" dxfId="891"/>
      <tableStyleElement type="firstTotalCell" dxfId="890"/>
      <tableStyleElement type="lastTotalCell" dxfId="88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Janeiro" displayName="Janeiro" ref="B8:AH14" totalsRowCount="1" headerRowDxfId="883" dataDxfId="882" totalsRowDxfId="881">
  <autoFilter ref="B8:AH13"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autoFilter>
  <tableColumns count="33">
    <tableColumn id="1" xr3:uid="{00000000-0010-0000-0000-000001000000}" name="Nome do funcionário" totalsRowFunction="custom" dataDxfId="879" totalsRowDxfId="880" dataCellStyle="Funcionário">
      <totalsRowFormula>NomeMês&amp;" total"</totalsRowFormula>
    </tableColumn>
    <tableColumn id="2" xr3:uid="{00000000-0010-0000-0000-000002000000}" name="1" totalsRowFunction="custom" dataDxfId="877" totalsRowDxfId="878" dataCellStyle="Total">
      <totalsRowFormula>SUBTOTAL(103,Janeiro!$C$9:$C$13)</totalsRowFormula>
    </tableColumn>
    <tableColumn id="3" xr3:uid="{00000000-0010-0000-0000-000003000000}" name="2" totalsRowFunction="custom" dataDxfId="875" totalsRowDxfId="876" dataCellStyle="Total">
      <totalsRowFormula>SUBTOTAL(103,Janeiro!$D$9:$D$13)</totalsRowFormula>
    </tableColumn>
    <tableColumn id="4" xr3:uid="{00000000-0010-0000-0000-000004000000}" name="3" totalsRowFunction="custom" dataDxfId="873" totalsRowDxfId="874" dataCellStyle="Total">
      <totalsRowFormula>SUBTOTAL(103,Janeiro!$E$9:$E$13)</totalsRowFormula>
    </tableColumn>
    <tableColumn id="5" xr3:uid="{00000000-0010-0000-0000-000005000000}" name="4" totalsRowFunction="custom" dataDxfId="871" totalsRowDxfId="872" dataCellStyle="Total">
      <totalsRowFormula>SUBTOTAL(103,Janeiro!$F$9:$F$13)</totalsRowFormula>
    </tableColumn>
    <tableColumn id="6" xr3:uid="{00000000-0010-0000-0000-000006000000}" name="5" totalsRowFunction="custom" totalsRowDxfId="870" dataCellStyle="Total">
      <totalsRowFormula>SUBTOTAL(103,Janeiro!$G$9:$G$13)</totalsRowFormula>
    </tableColumn>
    <tableColumn id="7" xr3:uid="{00000000-0010-0000-0000-000007000000}" name="6" totalsRowFunction="custom" dataDxfId="868" totalsRowDxfId="869" dataCellStyle="Total">
      <totalsRowFormula>SUBTOTAL(103,Janeiro!$H$9:$H$13)</totalsRowFormula>
    </tableColumn>
    <tableColumn id="8" xr3:uid="{00000000-0010-0000-0000-000008000000}" name="7" totalsRowFunction="custom" dataDxfId="866" totalsRowDxfId="867" dataCellStyle="Total">
      <totalsRowFormula>SUBTOTAL(103,Janeiro!$I$9:$I$13)</totalsRowFormula>
    </tableColumn>
    <tableColumn id="9" xr3:uid="{00000000-0010-0000-0000-000009000000}" name="8" totalsRowFunction="custom" dataDxfId="864" totalsRowDxfId="865" dataCellStyle="Total">
      <totalsRowFormula>SUBTOTAL(103,Janeiro!$J$9:$J$13)</totalsRowFormula>
    </tableColumn>
    <tableColumn id="10" xr3:uid="{00000000-0010-0000-0000-00000A000000}" name="9" totalsRowFunction="custom" dataDxfId="862" totalsRowDxfId="863" dataCellStyle="Total">
      <totalsRowFormula>SUBTOTAL(103,Janeiro!$K$9:$K$13)</totalsRowFormula>
    </tableColumn>
    <tableColumn id="11" xr3:uid="{00000000-0010-0000-0000-00000B000000}" name="10" totalsRowFunction="custom" dataDxfId="860" totalsRowDxfId="861" dataCellStyle="Total">
      <totalsRowFormula>SUBTOTAL(103,Janeiro!$L$9:$L$13)</totalsRowFormula>
    </tableColumn>
    <tableColumn id="12" xr3:uid="{00000000-0010-0000-0000-00000C000000}" name="11" totalsRowFunction="custom" dataDxfId="858" totalsRowDxfId="859" dataCellStyle="Total">
      <totalsRowFormula>SUBTOTAL(103,Janeiro!$M$9:$M$13)</totalsRowFormula>
    </tableColumn>
    <tableColumn id="13" xr3:uid="{00000000-0010-0000-0000-00000D000000}" name="12" totalsRowFunction="custom" dataDxfId="856" totalsRowDxfId="857" dataCellStyle="Total">
      <totalsRowFormula>SUBTOTAL(103,Janeiro!$N$9:$N$13)</totalsRowFormula>
    </tableColumn>
    <tableColumn id="14" xr3:uid="{00000000-0010-0000-0000-00000E000000}" name="13" totalsRowFunction="custom" dataDxfId="854" totalsRowDxfId="855" dataCellStyle="Total">
      <totalsRowFormula>SUBTOTAL(103,Janeiro!$O$9:$O$13)</totalsRowFormula>
    </tableColumn>
    <tableColumn id="15" xr3:uid="{00000000-0010-0000-0000-00000F000000}" name="14" totalsRowFunction="custom" dataDxfId="852" totalsRowDxfId="853" dataCellStyle="Total">
      <totalsRowFormula>SUBTOTAL(103,Janeiro!$P$9:$P$13)</totalsRowFormula>
    </tableColumn>
    <tableColumn id="16" xr3:uid="{00000000-0010-0000-0000-000010000000}" name="15" totalsRowFunction="custom" dataDxfId="850" totalsRowDxfId="851" dataCellStyle="Total">
      <totalsRowFormula>SUBTOTAL(103,Janeiro!$Q$9:$Q$13)</totalsRowFormula>
    </tableColumn>
    <tableColumn id="17" xr3:uid="{00000000-0010-0000-0000-000011000000}" name="16" totalsRowFunction="custom" dataDxfId="848" totalsRowDxfId="849" dataCellStyle="Total">
      <totalsRowFormula>SUBTOTAL(103,Janeiro!$R$9:$R$13)</totalsRowFormula>
    </tableColumn>
    <tableColumn id="18" xr3:uid="{00000000-0010-0000-0000-000012000000}" name="17" totalsRowFunction="custom" dataDxfId="846" totalsRowDxfId="847" dataCellStyle="Total">
      <totalsRowFormula>SUBTOTAL(103,Janeiro!$S$9:$S$13)</totalsRowFormula>
    </tableColumn>
    <tableColumn id="19" xr3:uid="{00000000-0010-0000-0000-000013000000}" name="18" totalsRowFunction="custom" dataDxfId="844" totalsRowDxfId="845" dataCellStyle="Total">
      <totalsRowFormula>SUBTOTAL(103,Janeiro!$T$9:$T$13)</totalsRowFormula>
    </tableColumn>
    <tableColumn id="20" xr3:uid="{00000000-0010-0000-0000-000014000000}" name="19" totalsRowFunction="custom" dataDxfId="842" totalsRowDxfId="843" dataCellStyle="Total">
      <totalsRowFormula>SUBTOTAL(103,Janeiro!$U$9:$U$13)</totalsRowFormula>
    </tableColumn>
    <tableColumn id="21" xr3:uid="{00000000-0010-0000-0000-000015000000}" name="20" totalsRowFunction="custom" dataDxfId="840" totalsRowDxfId="841" dataCellStyle="Total">
      <totalsRowFormula>SUBTOTAL(103,Janeiro!$V$9:$V$13)</totalsRowFormula>
    </tableColumn>
    <tableColumn id="22" xr3:uid="{00000000-0010-0000-0000-000016000000}" name="21" totalsRowFunction="custom" dataDxfId="838" totalsRowDxfId="839" dataCellStyle="Total">
      <totalsRowFormula>SUBTOTAL(103,Janeiro!$W$9:$W$13)</totalsRowFormula>
    </tableColumn>
    <tableColumn id="23" xr3:uid="{00000000-0010-0000-0000-000017000000}" name="22" totalsRowFunction="custom" dataDxfId="836" totalsRowDxfId="837" dataCellStyle="Total">
      <totalsRowFormula>SUBTOTAL(103,Janeiro!$X$9:$X$13)</totalsRowFormula>
    </tableColumn>
    <tableColumn id="24" xr3:uid="{00000000-0010-0000-0000-000018000000}" name="23" totalsRowFunction="custom" dataDxfId="834" totalsRowDxfId="835" dataCellStyle="Total">
      <totalsRowFormula>SUBTOTAL(103,Janeiro!$Y$9:$Y$13)</totalsRowFormula>
    </tableColumn>
    <tableColumn id="25" xr3:uid="{00000000-0010-0000-0000-000019000000}" name="24" totalsRowFunction="custom" dataDxfId="832" totalsRowDxfId="833" dataCellStyle="Total">
      <totalsRowFormula>SUBTOTAL(103,Janeiro!$Z$9:$Z$13)</totalsRowFormula>
    </tableColumn>
    <tableColumn id="26" xr3:uid="{00000000-0010-0000-0000-00001A000000}" name="25" totalsRowFunction="custom" dataDxfId="830" totalsRowDxfId="831" dataCellStyle="Total">
      <totalsRowFormula>SUBTOTAL(103,Janeiro!$AA$9:$AA$13)</totalsRowFormula>
    </tableColumn>
    <tableColumn id="27" xr3:uid="{00000000-0010-0000-0000-00001B000000}" name="26" totalsRowFunction="custom" dataDxfId="828" totalsRowDxfId="829" dataCellStyle="Total">
      <totalsRowFormula>SUBTOTAL(103,Janeiro!$AB$9:$AB$13)</totalsRowFormula>
    </tableColumn>
    <tableColumn id="28" xr3:uid="{00000000-0010-0000-0000-00001C000000}" name="27" totalsRowFunction="custom" dataDxfId="826" totalsRowDxfId="827" dataCellStyle="Total">
      <totalsRowFormula>SUBTOTAL(103,Janeiro!$AC$9:$AC$13)</totalsRowFormula>
    </tableColumn>
    <tableColumn id="29" xr3:uid="{00000000-0010-0000-0000-00001D000000}" name="28" totalsRowFunction="custom" dataDxfId="824" totalsRowDxfId="825" dataCellStyle="Total">
      <totalsRowFormula>SUBTOTAL(103,Janeiro!$AD$9:$AD$13)</totalsRowFormula>
    </tableColumn>
    <tableColumn id="30" xr3:uid="{00000000-0010-0000-0000-00001E000000}" name="29" totalsRowFunction="custom" dataDxfId="822" totalsRowDxfId="823" dataCellStyle="Total">
      <totalsRowFormula>SUBTOTAL(103,Janeiro!$AE$9:$AE$13)</totalsRowFormula>
    </tableColumn>
    <tableColumn id="31" xr3:uid="{00000000-0010-0000-0000-00001F000000}" name="30" totalsRowFunction="custom" dataDxfId="820" totalsRowDxfId="821" dataCellStyle="Total">
      <totalsRowFormula>SUBTOTAL(103,Janeiro!$AF$9:$AF$13)</totalsRowFormula>
    </tableColumn>
    <tableColumn id="32" xr3:uid="{00000000-0010-0000-0000-000020000000}" name="31" totalsRowFunction="custom" dataDxfId="818" totalsRowDxfId="819" dataCellStyle="Total">
      <totalsRowFormula>SUBTOTAL(103,Janeiro!$AG$9:$AG$13)</totalsRowFormula>
    </tableColumn>
    <tableColumn id="33" xr3:uid="{00000000-0010-0000-0000-000021000000}" name="Total de dias" totalsRowFunction="sum" dataDxfId="816" totalsRowDxfId="817" dataCellStyle="Total">
      <calculatedColumnFormula>COUNTA(Janeiro!$C9:$AG9)</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Fevereiro" displayName="Fevereiro" ref="B8:AH14" totalsRowCount="1" headerRowDxfId="808" dataDxfId="807" totalsRowDxfId="806">
  <tableColumns count="33">
    <tableColumn id="1" xr3:uid="{00000000-0010-0000-0100-000001000000}" name="Nome do funcionário" totalsRowFunction="custom" dataDxfId="804" totalsRowDxfId="805" dataCellStyle="Funcionário">
      <totalsRowFormula>NomeMês&amp;" total"</totalsRowFormula>
    </tableColumn>
    <tableColumn id="2" xr3:uid="{00000000-0010-0000-0100-000002000000}" name="1" totalsRowFunction="count" dataDxfId="802" totalsRowDxfId="803" dataCellStyle="Total"/>
    <tableColumn id="3" xr3:uid="{00000000-0010-0000-0100-000003000000}" name="2" totalsRowFunction="count" dataDxfId="800" totalsRowDxfId="801" dataCellStyle="Total"/>
    <tableColumn id="4" xr3:uid="{00000000-0010-0000-0100-000004000000}" name="3" totalsRowFunction="count" dataDxfId="798" totalsRowDxfId="799" dataCellStyle="Total"/>
    <tableColumn id="5" xr3:uid="{00000000-0010-0000-0100-000005000000}" name="4" totalsRowFunction="count" dataDxfId="796" totalsRowDxfId="797" dataCellStyle="Total"/>
    <tableColumn id="6" xr3:uid="{00000000-0010-0000-0100-000006000000}" name="5" totalsRowFunction="count" dataDxfId="794" totalsRowDxfId="795" dataCellStyle="Total"/>
    <tableColumn id="7" xr3:uid="{00000000-0010-0000-0100-000007000000}" name="6" totalsRowFunction="count" dataDxfId="792" totalsRowDxfId="793" dataCellStyle="Total"/>
    <tableColumn id="8" xr3:uid="{00000000-0010-0000-0100-000008000000}" name="7" totalsRowFunction="count" dataDxfId="790" totalsRowDxfId="791" dataCellStyle="Total"/>
    <tableColumn id="9" xr3:uid="{00000000-0010-0000-0100-000009000000}" name="8" totalsRowFunction="count" dataDxfId="788" totalsRowDxfId="789" dataCellStyle="Total"/>
    <tableColumn id="10" xr3:uid="{00000000-0010-0000-0100-00000A000000}" name="9" totalsRowFunction="count" dataDxfId="786" totalsRowDxfId="787" dataCellStyle="Total"/>
    <tableColumn id="11" xr3:uid="{00000000-0010-0000-0100-00000B000000}" name="10" totalsRowFunction="count" dataDxfId="784" totalsRowDxfId="785" dataCellStyle="Total"/>
    <tableColumn id="12" xr3:uid="{00000000-0010-0000-0100-00000C000000}" name="11" totalsRowFunction="count" dataDxfId="782" totalsRowDxfId="783" dataCellStyle="Total"/>
    <tableColumn id="13" xr3:uid="{00000000-0010-0000-0100-00000D000000}" name="12" totalsRowFunction="count" dataDxfId="780" totalsRowDxfId="781" dataCellStyle="Total"/>
    <tableColumn id="14" xr3:uid="{00000000-0010-0000-0100-00000E000000}" name="13" totalsRowFunction="count" dataDxfId="778" totalsRowDxfId="779" dataCellStyle="Total"/>
    <tableColumn id="15" xr3:uid="{00000000-0010-0000-0100-00000F000000}" name="14" totalsRowFunction="count" dataDxfId="776" totalsRowDxfId="777" dataCellStyle="Total"/>
    <tableColumn id="16" xr3:uid="{00000000-0010-0000-0100-000010000000}" name="15" totalsRowFunction="count" dataDxfId="774" totalsRowDxfId="775" dataCellStyle="Total"/>
    <tableColumn id="17" xr3:uid="{00000000-0010-0000-0100-000011000000}" name="16" totalsRowFunction="count" dataDxfId="772" totalsRowDxfId="773" dataCellStyle="Total"/>
    <tableColumn id="18" xr3:uid="{00000000-0010-0000-0100-000012000000}" name="17" totalsRowFunction="count" dataDxfId="770" totalsRowDxfId="771" dataCellStyle="Total"/>
    <tableColumn id="19" xr3:uid="{00000000-0010-0000-0100-000013000000}" name="18" totalsRowFunction="count" dataDxfId="768" totalsRowDxfId="769" dataCellStyle="Total"/>
    <tableColumn id="20" xr3:uid="{00000000-0010-0000-0100-000014000000}" name="19" totalsRowFunction="count" dataDxfId="766" totalsRowDxfId="767" dataCellStyle="Total"/>
    <tableColumn id="21" xr3:uid="{00000000-0010-0000-0100-000015000000}" name="20" totalsRowFunction="count" dataDxfId="764" totalsRowDxfId="765" dataCellStyle="Total"/>
    <tableColumn id="22" xr3:uid="{00000000-0010-0000-0100-000016000000}" name="21" totalsRowFunction="count" dataDxfId="762" totalsRowDxfId="763" dataCellStyle="Total"/>
    <tableColumn id="23" xr3:uid="{00000000-0010-0000-0100-000017000000}" name="22" totalsRowFunction="count" dataDxfId="760" totalsRowDxfId="761" dataCellStyle="Total"/>
    <tableColumn id="24" xr3:uid="{00000000-0010-0000-0100-000018000000}" name="23" totalsRowFunction="count" dataDxfId="758" totalsRowDxfId="759" dataCellStyle="Total"/>
    <tableColumn id="25" xr3:uid="{00000000-0010-0000-0100-000019000000}" name="24" totalsRowFunction="count" dataDxfId="756" totalsRowDxfId="757" dataCellStyle="Total"/>
    <tableColumn id="26" xr3:uid="{00000000-0010-0000-0100-00001A000000}" name="25" totalsRowFunction="count" dataDxfId="754" totalsRowDxfId="755" dataCellStyle="Total"/>
    <tableColumn id="27" xr3:uid="{00000000-0010-0000-0100-00001B000000}" name="26" totalsRowFunction="count" dataDxfId="752" totalsRowDxfId="753" dataCellStyle="Total"/>
    <tableColumn id="28" xr3:uid="{00000000-0010-0000-0100-00001C000000}" name="27" totalsRowFunction="count" dataDxfId="750" totalsRowDxfId="751" dataCellStyle="Total"/>
    <tableColumn id="29" xr3:uid="{00000000-0010-0000-0100-00001D000000}" name="28" totalsRowFunction="count" dataDxfId="748" totalsRowDxfId="749" dataCellStyle="Total"/>
    <tableColumn id="30" xr3:uid="{00000000-0010-0000-0100-00001E000000}" name="29" totalsRowFunction="count" dataDxfId="746" totalsRowDxfId="747" dataCellStyle="Total"/>
    <tableColumn id="31" xr3:uid="{00000000-0010-0000-0100-00001F000000}" name=" " dataDxfId="744" totalsRowDxfId="745" dataCellStyle="Total"/>
    <tableColumn id="32" xr3:uid="{00000000-0010-0000-0100-000020000000}" name="  " dataDxfId="742" totalsRowDxfId="743" dataCellStyle="Total"/>
    <tableColumn id="33" xr3:uid="{00000000-0010-0000-0100-000021000000}" name="Total de dias" totalsRowFunction="sum" dataDxfId="740" totalsRowDxfId="741" dataCellStyle="Total">
      <calculatedColumnFormula>COUNTA(Fevereiro[[#This Row],[1]:[29]])</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Março" displayName="Março" ref="B8:AH14" totalsRowCount="1" headerRowDxfId="734" dataDxfId="733" totalsRowDxfId="732">
  <tableColumns count="33">
    <tableColumn id="1" xr3:uid="{00000000-0010-0000-0200-000001000000}" name="Nome do funcionário" totalsRowFunction="custom" dataDxfId="730" totalsRowDxfId="731" dataCellStyle="Funcionário">
      <totalsRowFormula>NomeMês&amp;" Total"</totalsRowFormula>
    </tableColumn>
    <tableColumn id="2" xr3:uid="{00000000-0010-0000-0200-000002000000}" name="1" totalsRowFunction="count" dataDxfId="728" totalsRowDxfId="729"/>
    <tableColumn id="3" xr3:uid="{00000000-0010-0000-0200-000003000000}" name="2" totalsRowFunction="count" dataDxfId="726" totalsRowDxfId="727"/>
    <tableColumn id="4" xr3:uid="{00000000-0010-0000-0200-000004000000}" name="3" totalsRowFunction="count" dataDxfId="724" totalsRowDxfId="725"/>
    <tableColumn id="5" xr3:uid="{00000000-0010-0000-0200-000005000000}" name="4" totalsRowFunction="count" dataDxfId="722" totalsRowDxfId="723"/>
    <tableColumn id="6" xr3:uid="{00000000-0010-0000-0200-000006000000}" name="5" totalsRowFunction="count" dataDxfId="720" totalsRowDxfId="721"/>
    <tableColumn id="7" xr3:uid="{00000000-0010-0000-0200-000007000000}" name="6" totalsRowFunction="count" dataDxfId="718" totalsRowDxfId="719"/>
    <tableColumn id="8" xr3:uid="{00000000-0010-0000-0200-000008000000}" name="7" totalsRowFunction="count" dataDxfId="716" totalsRowDxfId="717"/>
    <tableColumn id="9" xr3:uid="{00000000-0010-0000-0200-000009000000}" name="8" totalsRowFunction="count" dataDxfId="714" totalsRowDxfId="715"/>
    <tableColumn id="10" xr3:uid="{00000000-0010-0000-0200-00000A000000}" name="9" totalsRowFunction="count" dataDxfId="712" totalsRowDxfId="713"/>
    <tableColumn id="11" xr3:uid="{00000000-0010-0000-0200-00000B000000}" name="10" totalsRowFunction="count" dataDxfId="710" totalsRowDxfId="711"/>
    <tableColumn id="12" xr3:uid="{00000000-0010-0000-0200-00000C000000}" name="11" totalsRowFunction="count" dataDxfId="708" totalsRowDxfId="709"/>
    <tableColumn id="13" xr3:uid="{00000000-0010-0000-0200-00000D000000}" name="12" totalsRowFunction="count" dataDxfId="706" totalsRowDxfId="707"/>
    <tableColumn id="14" xr3:uid="{00000000-0010-0000-0200-00000E000000}" name="13" totalsRowFunction="count" dataDxfId="704" totalsRowDxfId="705"/>
    <tableColumn id="15" xr3:uid="{00000000-0010-0000-0200-00000F000000}" name="14" totalsRowFunction="count" dataDxfId="702" totalsRowDxfId="703"/>
    <tableColumn id="16" xr3:uid="{00000000-0010-0000-0200-000010000000}" name="15" totalsRowFunction="count" dataDxfId="700" totalsRowDxfId="701"/>
    <tableColumn id="17" xr3:uid="{00000000-0010-0000-0200-000011000000}" name="16" totalsRowFunction="count" dataDxfId="698" totalsRowDxfId="699"/>
    <tableColumn id="18" xr3:uid="{00000000-0010-0000-0200-000012000000}" name="17" totalsRowFunction="count" dataDxfId="696" totalsRowDxfId="697"/>
    <tableColumn id="19" xr3:uid="{00000000-0010-0000-0200-000013000000}" name="18" totalsRowFunction="count" dataDxfId="694" totalsRowDxfId="695"/>
    <tableColumn id="20" xr3:uid="{00000000-0010-0000-0200-000014000000}" name="19" totalsRowFunction="count" dataDxfId="692" totalsRowDxfId="693"/>
    <tableColumn id="21" xr3:uid="{00000000-0010-0000-0200-000015000000}" name="20" totalsRowFunction="count" dataDxfId="690" totalsRowDxfId="691"/>
    <tableColumn id="22" xr3:uid="{00000000-0010-0000-0200-000016000000}" name="21" totalsRowFunction="count" dataDxfId="688" totalsRowDxfId="689"/>
    <tableColumn id="23" xr3:uid="{00000000-0010-0000-0200-000017000000}" name="22" totalsRowFunction="count" dataDxfId="686" totalsRowDxfId="687"/>
    <tableColumn id="24" xr3:uid="{00000000-0010-0000-0200-000018000000}" name="23" totalsRowFunction="count" dataDxfId="684" totalsRowDxfId="685"/>
    <tableColumn id="25" xr3:uid="{00000000-0010-0000-0200-000019000000}" name="24" totalsRowFunction="count" dataDxfId="682" totalsRowDxfId="683"/>
    <tableColumn id="26" xr3:uid="{00000000-0010-0000-0200-00001A000000}" name="25" totalsRowFunction="count" dataDxfId="680" totalsRowDxfId="681"/>
    <tableColumn id="27" xr3:uid="{00000000-0010-0000-0200-00001B000000}" name="26" totalsRowFunction="count" dataDxfId="678" totalsRowDxfId="679"/>
    <tableColumn id="28" xr3:uid="{00000000-0010-0000-0200-00001C000000}" name="27" totalsRowFunction="count" dataDxfId="676" totalsRowDxfId="677"/>
    <tableColumn id="29" xr3:uid="{00000000-0010-0000-0200-00001D000000}" name="28" totalsRowFunction="count" dataDxfId="674" totalsRowDxfId="675"/>
    <tableColumn id="30" xr3:uid="{00000000-0010-0000-0200-00001E000000}" name="29" totalsRowFunction="count" dataDxfId="672" totalsRowDxfId="673"/>
    <tableColumn id="31" xr3:uid="{00000000-0010-0000-0200-00001F000000}" name="30" totalsRowFunction="sum" dataDxfId="670" totalsRowDxfId="671"/>
    <tableColumn id="32" xr3:uid="{00000000-0010-0000-0200-000020000000}" name="31" totalsRowFunction="sum" dataDxfId="668" totalsRowDxfId="669" dataCellStyle="Total"/>
    <tableColumn id="33" xr3:uid="{00000000-0010-0000-0200-000021000000}" name="Total de dias" totalsRowFunction="sum" dataDxfId="666" totalsRowDxfId="667" dataCellStyle="Total">
      <calculatedColumnFormula>COUNTA(Março[[#This Row],[1]:[31]])</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0214BC2-F1A9-794B-922E-B532EC6BBFDF}" name="March5" displayName="March5" ref="B8:AH14" totalsRowCount="1" headerRowDxfId="660" dataDxfId="659" totalsRowDxfId="658">
  <tableColumns count="33">
    <tableColumn id="1" xr3:uid="{5251F992-E710-C643-B160-C37BB2131D31}" name="Nome do funcionário" totalsRowFunction="custom" dataDxfId="656" totalsRowDxfId="657" dataCellStyle="Funcionário">
      <totalsRowFormula>NomeMês&amp;" Total"</totalsRowFormula>
    </tableColumn>
    <tableColumn id="2" xr3:uid="{9AEC3AA3-9F0E-4B4E-A8ED-026BAE9C428F}" name="1" totalsRowFunction="count" dataDxfId="654" totalsRowDxfId="655"/>
    <tableColumn id="3" xr3:uid="{55750F7A-05DD-CB41-95C5-BE1F874725AE}" name="2" totalsRowFunction="count" dataDxfId="652" totalsRowDxfId="653"/>
    <tableColumn id="4" xr3:uid="{259912E4-C37B-5145-B99B-93F989E18A49}" name="3" totalsRowFunction="count" dataDxfId="650" totalsRowDxfId="651"/>
    <tableColumn id="5" xr3:uid="{44743504-4BFF-3B46-87DE-A0AE5C8C9FC0}" name="4" totalsRowFunction="count" dataDxfId="648" totalsRowDxfId="649"/>
    <tableColumn id="6" xr3:uid="{471BE969-F222-D642-8D1A-B386CCC29AB2}" name="5" totalsRowFunction="count" dataDxfId="646" totalsRowDxfId="647"/>
    <tableColumn id="7" xr3:uid="{35FEC3F2-5280-D342-A070-AB9A3C3BCF0A}" name="6" totalsRowFunction="count" dataDxfId="644" totalsRowDxfId="645"/>
    <tableColumn id="8" xr3:uid="{D4047C63-7046-5242-9483-0BC31BD18200}" name="7" totalsRowFunction="count" dataDxfId="642" totalsRowDxfId="643"/>
    <tableColumn id="9" xr3:uid="{79A2B7D0-444A-5942-9296-2BD32E471C66}" name="8" totalsRowFunction="count" dataDxfId="640" totalsRowDxfId="641"/>
    <tableColumn id="10" xr3:uid="{B46D113E-7D39-5A43-BAA4-11739C4AD0C2}" name="9" totalsRowFunction="count" dataDxfId="638" totalsRowDxfId="639"/>
    <tableColumn id="11" xr3:uid="{977EC8E9-AEB6-3E40-BE79-A406D4D3444D}" name="10" totalsRowFunction="count" dataDxfId="636" totalsRowDxfId="637"/>
    <tableColumn id="12" xr3:uid="{42883C66-F682-394E-8D72-6C0286CB27EA}" name="11" totalsRowFunction="count" dataDxfId="634" totalsRowDxfId="635"/>
    <tableColumn id="13" xr3:uid="{9A10401F-4CF0-8641-BCEB-2237315C8881}" name="12" totalsRowFunction="count" dataDxfId="632" totalsRowDxfId="633"/>
    <tableColumn id="14" xr3:uid="{9C8C4D04-BE8B-FB44-9666-B515D905B2D6}" name="13" totalsRowFunction="count" dataDxfId="630" totalsRowDxfId="631"/>
    <tableColumn id="15" xr3:uid="{E996717D-17EC-B048-A561-2AD987D342D0}" name="14" totalsRowFunction="count" dataDxfId="628" totalsRowDxfId="629"/>
    <tableColumn id="16" xr3:uid="{3BFEBF2B-F60F-A142-86F2-75C9DC96AFDB}" name="15" totalsRowFunction="count" dataDxfId="626" totalsRowDxfId="627"/>
    <tableColumn id="17" xr3:uid="{0C97EF54-1361-BE43-8F7F-1BCE23E1AB5A}" name="16" totalsRowFunction="count" dataDxfId="624" totalsRowDxfId="625"/>
    <tableColumn id="18" xr3:uid="{257791F4-E1CB-0642-BD3B-FB1B81C57DF1}" name="17" totalsRowFunction="count" dataDxfId="622" totalsRowDxfId="623"/>
    <tableColumn id="19" xr3:uid="{BB7AB6EF-7B76-5946-B53A-22DB3EB1F3FC}" name="18" totalsRowFunction="count" dataDxfId="620" totalsRowDxfId="621"/>
    <tableColumn id="20" xr3:uid="{85AEA6C3-1E60-234F-8E68-DD23536D850B}" name="19" totalsRowFunction="count" dataDxfId="618" totalsRowDxfId="619"/>
    <tableColumn id="21" xr3:uid="{A73B9507-91D4-9B42-8C0E-1E0FB67905F8}" name="20" totalsRowFunction="count" dataDxfId="616" totalsRowDxfId="617"/>
    <tableColumn id="22" xr3:uid="{5C7BDCBF-0A5A-4549-B80B-C8343893EAF7}" name="21" totalsRowFunction="count" dataDxfId="614" totalsRowDxfId="615"/>
    <tableColumn id="23" xr3:uid="{EC439ECF-E0C6-5D41-9DA2-07E3E82FF691}" name="22" totalsRowFunction="count" dataDxfId="612" totalsRowDxfId="613"/>
    <tableColumn id="24" xr3:uid="{97854A72-AEC9-604B-B1D4-06EC15436469}" name="23" totalsRowFunction="count" dataDxfId="610" totalsRowDxfId="611"/>
    <tableColumn id="25" xr3:uid="{F701FD79-E584-DF4B-83E9-A152532FDD15}" name="24" totalsRowFunction="count" dataDxfId="608" totalsRowDxfId="609"/>
    <tableColumn id="26" xr3:uid="{C662F6C1-F102-5942-8719-E32AD8792020}" name="25" totalsRowFunction="count" dataDxfId="606" totalsRowDxfId="607"/>
    <tableColumn id="27" xr3:uid="{50B9E2E5-9F39-0F45-AE9B-4555A77D295D}" name="26" totalsRowFunction="count" dataDxfId="604" totalsRowDxfId="605"/>
    <tableColumn id="28" xr3:uid="{3E4AF3CF-CB70-0842-B373-83CF59CBDA1D}" name="27" totalsRowFunction="count" dataDxfId="602" totalsRowDxfId="603"/>
    <tableColumn id="29" xr3:uid="{C5FCD875-31A1-4B41-AAF6-09E535D80C81}" name="28" totalsRowFunction="count" dataDxfId="600" totalsRowDxfId="601"/>
    <tableColumn id="30" xr3:uid="{84F06E67-080B-CA42-8EEC-59690B041A03}" name="29" totalsRowFunction="count" dataDxfId="598" totalsRowDxfId="599"/>
    <tableColumn id="31" xr3:uid="{284765D5-58F9-F440-84EA-ACE449176ACA}" name="30" totalsRowFunction="sum" dataDxfId="596" totalsRowDxfId="597"/>
    <tableColumn id="32" xr3:uid="{9C77C5AD-4E19-B843-B9BE-2909F268D667}" name=" " totalsRowFunction="sum" dataDxfId="594" totalsRowDxfId="595" dataCellStyle="Total"/>
    <tableColumn id="33" xr3:uid="{0DA7656D-8525-2046-AEDA-1F40E411BD0D}" name="Total de dias" totalsRowFunction="sum" dataDxfId="592" totalsRowDxfId="593" dataCellStyle="Total">
      <calculatedColumnFormula>COUNTA(March5[[#This Row],[1]:[ ]])</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8E83FD69-EC79-6B43-9728-DBC90C3FDC77}" name="March58" displayName="March58" ref="B8:AH14" totalsRowCount="1" headerRowDxfId="586" dataDxfId="585" totalsRowDxfId="584">
  <tableColumns count="33">
    <tableColumn id="1" xr3:uid="{5910D0B6-76A8-1646-97A8-4AE2D1756125}" name="Nome do funcionário" totalsRowFunction="custom" dataDxfId="582" totalsRowDxfId="583" dataCellStyle="Funcionário">
      <totalsRowFormula>NomeMês&amp;" Total"</totalsRowFormula>
    </tableColumn>
    <tableColumn id="2" xr3:uid="{69C27970-12EA-0E42-AF5F-351BA83FD215}" name="1" totalsRowFunction="count" dataDxfId="580" totalsRowDxfId="581"/>
    <tableColumn id="3" xr3:uid="{2DB67051-6E13-964F-86B0-B00AA9A5BFAF}" name="2" totalsRowFunction="count" dataDxfId="578" totalsRowDxfId="579"/>
    <tableColumn id="4" xr3:uid="{CF201FDD-65B9-BE4B-BE51-45EFCA258036}" name="3" totalsRowFunction="count" dataDxfId="576" totalsRowDxfId="577"/>
    <tableColumn id="5" xr3:uid="{E03823B4-0CCA-7D47-BCFD-4BB07A97D88C}" name="4" totalsRowFunction="count" dataDxfId="574" totalsRowDxfId="575"/>
    <tableColumn id="6" xr3:uid="{5F39FD90-2520-0847-B186-6CA5B07A072F}" name="5" totalsRowFunction="count" dataDxfId="572" totalsRowDxfId="573"/>
    <tableColumn id="7" xr3:uid="{D7992C25-6255-D54A-8B77-C3032B2914E8}" name="6" totalsRowFunction="count" dataDxfId="570" totalsRowDxfId="571"/>
    <tableColumn id="8" xr3:uid="{161AB8A2-4451-FA40-9408-833AFFC6D7CD}" name="7" totalsRowFunction="count" dataDxfId="568" totalsRowDxfId="569"/>
    <tableColumn id="9" xr3:uid="{82432B13-145C-AC4E-A84F-0C211DED3AEE}" name="8" totalsRowFunction="count" dataDxfId="566" totalsRowDxfId="567"/>
    <tableColumn id="10" xr3:uid="{994E3A00-A93E-8A4C-A93F-5DF73DB59AA5}" name="9" totalsRowFunction="count" dataDxfId="564" totalsRowDxfId="565"/>
    <tableColumn id="11" xr3:uid="{ADA642AC-6B5D-4749-B631-64A63466A02A}" name="10" totalsRowFunction="count" dataDxfId="562" totalsRowDxfId="563"/>
    <tableColumn id="12" xr3:uid="{E1D9D052-9150-4B4A-873C-04B0C9F0EAA0}" name="11" totalsRowFunction="count" dataDxfId="560" totalsRowDxfId="561"/>
    <tableColumn id="13" xr3:uid="{7804DD46-EEB3-7047-A68F-A81094B2F0E0}" name="12" totalsRowFunction="count" dataDxfId="558" totalsRowDxfId="559"/>
    <tableColumn id="14" xr3:uid="{39F98B96-5BF4-7747-A3D2-F58049C2C331}" name="13" totalsRowFunction="count" dataDxfId="556" totalsRowDxfId="557"/>
    <tableColumn id="15" xr3:uid="{8908FF7E-1791-CA41-8CF3-4A9F971974C3}" name="14" totalsRowFunction="count" dataDxfId="554" totalsRowDxfId="555"/>
    <tableColumn id="16" xr3:uid="{773FDBBE-AB42-A546-8329-8BDAEF4D06C4}" name="15" totalsRowFunction="count" dataDxfId="552" totalsRowDxfId="553"/>
    <tableColumn id="17" xr3:uid="{01EE92EC-B490-AF40-BDB2-290F1B1C3C58}" name="16" totalsRowFunction="count" dataDxfId="550" totalsRowDxfId="551"/>
    <tableColumn id="18" xr3:uid="{DF22A54C-2BE2-1340-BC66-FDDF323ABBE0}" name="17" totalsRowFunction="count" dataDxfId="548" totalsRowDxfId="549"/>
    <tableColumn id="19" xr3:uid="{BB1CDCA3-E15B-8D4E-ABE5-0D5BE02A950E}" name="18" totalsRowFunction="count" dataDxfId="546" totalsRowDxfId="547"/>
    <tableColumn id="20" xr3:uid="{4D5E657B-D9D2-8C4A-A4EB-E29B4B8BCF70}" name="19" totalsRowFunction="count" dataDxfId="544" totalsRowDxfId="545"/>
    <tableColumn id="21" xr3:uid="{B5D1019E-86BD-A146-A976-653D87FAC02B}" name="20" totalsRowFunction="count" dataDxfId="542" totalsRowDxfId="543"/>
    <tableColumn id="22" xr3:uid="{D1F7F5A1-B363-AC44-9332-4BA33D6CCEA8}" name="21" totalsRowFunction="count" dataDxfId="540" totalsRowDxfId="541"/>
    <tableColumn id="23" xr3:uid="{0EEDA366-AE45-0947-A354-D1B1BEB67F28}" name="22" totalsRowFunction="count" dataDxfId="538" totalsRowDxfId="539"/>
    <tableColumn id="24" xr3:uid="{8DB56569-FE6B-4249-B364-D76AC1D9BE79}" name="23" totalsRowFunction="count" dataDxfId="536" totalsRowDxfId="537"/>
    <tableColumn id="25" xr3:uid="{5BECBC0C-925A-8245-AD6D-847781A68957}" name="24" totalsRowFunction="count" dataDxfId="534" totalsRowDxfId="535"/>
    <tableColumn id="26" xr3:uid="{7D745BDB-6C53-8B4B-BA72-5FBDCB5D9CCC}" name="25" totalsRowFunction="count" dataDxfId="532" totalsRowDxfId="533"/>
    <tableColumn id="27" xr3:uid="{FA6FFB4C-5E6D-DA4E-8F87-EEC900B26695}" name="26" totalsRowFunction="count" dataDxfId="530" totalsRowDxfId="531"/>
    <tableColumn id="28" xr3:uid="{A50BDA94-D72B-C043-A8B2-E1E178EA827F}" name="27" totalsRowFunction="count" dataDxfId="528" totalsRowDxfId="529"/>
    <tableColumn id="29" xr3:uid="{D68B12D0-F485-FF42-B2E6-30EC0E2C418D}" name="28" totalsRowFunction="count" dataDxfId="526" totalsRowDxfId="527"/>
    <tableColumn id="30" xr3:uid="{695C2584-A6A5-D742-A768-02D19E90DEBC}" name="29" totalsRowFunction="count" dataDxfId="524" totalsRowDxfId="525"/>
    <tableColumn id="31" xr3:uid="{0B002160-8CE9-4B4E-A7A4-CFE8C54F8781}" name="30" totalsRowFunction="sum" dataDxfId="522" totalsRowDxfId="523"/>
    <tableColumn id="32" xr3:uid="{9A241B27-F77F-9E49-9678-7978D0423F17}" name="31" totalsRowFunction="sum" dataDxfId="520" totalsRowDxfId="521" dataCellStyle="Total"/>
    <tableColumn id="33" xr3:uid="{C85EB010-29D3-FD4A-9882-B705BDC3D2EF}" name="Total de dias" totalsRowFunction="sum" dataDxfId="518" totalsRowDxfId="519" dataCellStyle="Total">
      <calculatedColumnFormula>COUNTA(March58[[#This Row],[1]:[31]])</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5000000}" name="Junho" displayName="Junho" ref="B8:AH14" totalsRowCount="1" headerRowDxfId="512" dataDxfId="511" totalsRowDxfId="510">
  <tableColumns count="33">
    <tableColumn id="1" xr3:uid="{00000000-0010-0000-0500-000001000000}" name="Nome do funcionário" totalsRowFunction="custom" dataDxfId="508" totalsRowDxfId="509" dataCellStyle="Funcionário">
      <totalsRowFormula>NomeMês&amp;" Total"</totalsRowFormula>
    </tableColumn>
    <tableColumn id="2" xr3:uid="{00000000-0010-0000-0500-000002000000}" name="1" totalsRowFunction="count" dataDxfId="506" totalsRowDxfId="507"/>
    <tableColumn id="3" xr3:uid="{00000000-0010-0000-0500-000003000000}" name="2" totalsRowFunction="count" dataDxfId="504" totalsRowDxfId="505"/>
    <tableColumn id="4" xr3:uid="{00000000-0010-0000-0500-000004000000}" name="3" totalsRowFunction="count" dataDxfId="502" totalsRowDxfId="503"/>
    <tableColumn id="5" xr3:uid="{00000000-0010-0000-0500-000005000000}" name="4" totalsRowFunction="count" dataDxfId="500" totalsRowDxfId="501"/>
    <tableColumn id="6" xr3:uid="{00000000-0010-0000-0500-000006000000}" name="5" totalsRowFunction="count" dataDxfId="498" totalsRowDxfId="499"/>
    <tableColumn id="7" xr3:uid="{00000000-0010-0000-0500-000007000000}" name="6" totalsRowFunction="count" dataDxfId="496" totalsRowDxfId="497"/>
    <tableColumn id="8" xr3:uid="{00000000-0010-0000-0500-000008000000}" name="7" totalsRowFunction="count" dataDxfId="494" totalsRowDxfId="495"/>
    <tableColumn id="9" xr3:uid="{00000000-0010-0000-0500-000009000000}" name="8" totalsRowFunction="count" dataDxfId="492" totalsRowDxfId="493"/>
    <tableColumn id="10" xr3:uid="{00000000-0010-0000-0500-00000A000000}" name="9" totalsRowFunction="count" dataDxfId="490" totalsRowDxfId="491"/>
    <tableColumn id="11" xr3:uid="{00000000-0010-0000-0500-00000B000000}" name="10" totalsRowFunction="count" dataDxfId="488" totalsRowDxfId="489"/>
    <tableColumn id="12" xr3:uid="{00000000-0010-0000-0500-00000C000000}" name="11" totalsRowFunction="count" dataDxfId="486" totalsRowDxfId="487"/>
    <tableColumn id="13" xr3:uid="{00000000-0010-0000-0500-00000D000000}" name="12" totalsRowFunction="count" dataDxfId="484" totalsRowDxfId="485"/>
    <tableColumn id="14" xr3:uid="{00000000-0010-0000-0500-00000E000000}" name="13" totalsRowFunction="count" dataDxfId="482" totalsRowDxfId="483"/>
    <tableColumn id="15" xr3:uid="{00000000-0010-0000-0500-00000F000000}" name="14" totalsRowFunction="count" dataDxfId="480" totalsRowDxfId="481"/>
    <tableColumn id="16" xr3:uid="{00000000-0010-0000-0500-000010000000}" name="15" totalsRowFunction="count" dataDxfId="478" totalsRowDxfId="479"/>
    <tableColumn id="17" xr3:uid="{00000000-0010-0000-0500-000011000000}" name="16" totalsRowFunction="count" dataDxfId="476" totalsRowDxfId="477"/>
    <tableColumn id="18" xr3:uid="{00000000-0010-0000-0500-000012000000}" name="17" totalsRowFunction="count" dataDxfId="474" totalsRowDxfId="475"/>
    <tableColumn id="19" xr3:uid="{00000000-0010-0000-0500-000013000000}" name="18" totalsRowFunction="count" dataDxfId="472" totalsRowDxfId="473"/>
    <tableColumn id="20" xr3:uid="{00000000-0010-0000-0500-000014000000}" name="19" totalsRowFunction="count" dataDxfId="470" totalsRowDxfId="471"/>
    <tableColumn id="21" xr3:uid="{00000000-0010-0000-0500-000015000000}" name="20" totalsRowFunction="count" dataDxfId="468" totalsRowDxfId="469"/>
    <tableColumn id="22" xr3:uid="{00000000-0010-0000-0500-000016000000}" name="21" totalsRowFunction="count" dataDxfId="466" totalsRowDxfId="467"/>
    <tableColumn id="23" xr3:uid="{00000000-0010-0000-0500-000017000000}" name="22" totalsRowFunction="count" dataDxfId="464" totalsRowDxfId="465"/>
    <tableColumn id="24" xr3:uid="{00000000-0010-0000-0500-000018000000}" name="23" totalsRowFunction="count" dataDxfId="462" totalsRowDxfId="463"/>
    <tableColumn id="25" xr3:uid="{00000000-0010-0000-0500-000019000000}" name="24" totalsRowFunction="count" dataDxfId="460" totalsRowDxfId="461"/>
    <tableColumn id="26" xr3:uid="{00000000-0010-0000-0500-00001A000000}" name="25" totalsRowFunction="count" dataDxfId="458" totalsRowDxfId="459"/>
    <tableColumn id="27" xr3:uid="{00000000-0010-0000-0500-00001B000000}" name="26" totalsRowFunction="count" dataDxfId="456" totalsRowDxfId="457"/>
    <tableColumn id="28" xr3:uid="{00000000-0010-0000-0500-00001C000000}" name="27" totalsRowFunction="count" dataDxfId="454" totalsRowDxfId="455"/>
    <tableColumn id="29" xr3:uid="{00000000-0010-0000-0500-00001D000000}" name="28" totalsRowFunction="count" dataDxfId="452" totalsRowDxfId="453"/>
    <tableColumn id="30" xr3:uid="{00000000-0010-0000-0500-00001E000000}" name="29" totalsRowFunction="count" dataDxfId="450" totalsRowDxfId="451"/>
    <tableColumn id="31" xr3:uid="{00000000-0010-0000-0500-00001F000000}" name="30" totalsRowFunction="sum" dataDxfId="448" totalsRowDxfId="449"/>
    <tableColumn id="32" xr3:uid="{00000000-0010-0000-0500-000020000000}" name=" " totalsRowFunction="sum" dataDxfId="446" totalsRowDxfId="447" dataCellStyle="Total"/>
    <tableColumn id="33" xr3:uid="{00000000-0010-0000-0500-000021000000}" name="Total de dias" totalsRowFunction="sum" dataDxfId="444" totalsRowDxfId="445" dataCellStyle="Total">
      <calculatedColumnFormula>COUNTA(Junho[[#This Row],[1]:[ ]])</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6000000}" name="Julho" displayName="Julho" ref="B8:AH14" totalsRowCount="1" headerRowDxfId="438" dataDxfId="437" totalsRowDxfId="436">
  <tableColumns count="33">
    <tableColumn id="1" xr3:uid="{00000000-0010-0000-0600-000001000000}" name="Nome do funcionário" totalsRowFunction="custom" dataDxfId="434" totalsRowDxfId="435" dataCellStyle="Funcionário">
      <totalsRowFormula>NomeMês&amp;" Total"</totalsRowFormula>
    </tableColumn>
    <tableColumn id="2" xr3:uid="{00000000-0010-0000-0600-000002000000}" name="1" totalsRowFunction="count" dataDxfId="432" totalsRowDxfId="433"/>
    <tableColumn id="3" xr3:uid="{00000000-0010-0000-0600-000003000000}" name="2" totalsRowFunction="count" dataDxfId="430" totalsRowDxfId="431"/>
    <tableColumn id="4" xr3:uid="{00000000-0010-0000-0600-000004000000}" name="3" totalsRowFunction="count" dataDxfId="428" totalsRowDxfId="429"/>
    <tableColumn id="5" xr3:uid="{00000000-0010-0000-0600-000005000000}" name="4" totalsRowFunction="count" dataDxfId="426" totalsRowDxfId="427"/>
    <tableColumn id="6" xr3:uid="{00000000-0010-0000-0600-000006000000}" name="5" totalsRowFunction="count" dataDxfId="424" totalsRowDxfId="425"/>
    <tableColumn id="7" xr3:uid="{00000000-0010-0000-0600-000007000000}" name="6" totalsRowFunction="count" dataDxfId="422" totalsRowDxfId="423"/>
    <tableColumn id="8" xr3:uid="{00000000-0010-0000-0600-000008000000}" name="7" totalsRowFunction="count" dataDxfId="420" totalsRowDxfId="421"/>
    <tableColumn id="9" xr3:uid="{00000000-0010-0000-0600-000009000000}" name="8" totalsRowFunction="count" dataDxfId="418" totalsRowDxfId="419"/>
    <tableColumn id="10" xr3:uid="{00000000-0010-0000-0600-00000A000000}" name="9" totalsRowFunction="count" dataDxfId="416" totalsRowDxfId="417"/>
    <tableColumn id="11" xr3:uid="{00000000-0010-0000-0600-00000B000000}" name="10" totalsRowFunction="count" dataDxfId="414" totalsRowDxfId="415"/>
    <tableColumn id="12" xr3:uid="{00000000-0010-0000-0600-00000C000000}" name="11" totalsRowFunction="count" dataDxfId="412" totalsRowDxfId="413"/>
    <tableColumn id="13" xr3:uid="{00000000-0010-0000-0600-00000D000000}" name="12" totalsRowFunction="count" dataDxfId="410" totalsRowDxfId="411"/>
    <tableColumn id="14" xr3:uid="{00000000-0010-0000-0600-00000E000000}" name="13" totalsRowFunction="count" dataDxfId="408" totalsRowDxfId="409"/>
    <tableColumn id="15" xr3:uid="{00000000-0010-0000-0600-00000F000000}" name="14" totalsRowFunction="count" dataDxfId="406" totalsRowDxfId="407"/>
    <tableColumn id="16" xr3:uid="{00000000-0010-0000-0600-000010000000}" name="15" totalsRowFunction="count" dataDxfId="404" totalsRowDxfId="405"/>
    <tableColumn id="17" xr3:uid="{00000000-0010-0000-0600-000011000000}" name="16" totalsRowFunction="count" dataDxfId="402" totalsRowDxfId="403"/>
    <tableColumn id="18" xr3:uid="{00000000-0010-0000-0600-000012000000}" name="17" totalsRowFunction="count" dataDxfId="400" totalsRowDxfId="401"/>
    <tableColumn id="19" xr3:uid="{00000000-0010-0000-0600-000013000000}" name="18" totalsRowFunction="count" dataDxfId="398" totalsRowDxfId="399"/>
    <tableColumn id="20" xr3:uid="{00000000-0010-0000-0600-000014000000}" name="19" totalsRowFunction="count" dataDxfId="396" totalsRowDxfId="397"/>
    <tableColumn id="21" xr3:uid="{00000000-0010-0000-0600-000015000000}" name="20" totalsRowFunction="count" dataDxfId="394" totalsRowDxfId="395"/>
    <tableColumn id="22" xr3:uid="{00000000-0010-0000-0600-000016000000}" name="21" totalsRowFunction="count" dataDxfId="392" totalsRowDxfId="393"/>
    <tableColumn id="23" xr3:uid="{00000000-0010-0000-0600-000017000000}" name="22" totalsRowFunction="count" dataDxfId="390" totalsRowDxfId="391"/>
    <tableColumn id="24" xr3:uid="{00000000-0010-0000-0600-000018000000}" name="23" totalsRowFunction="count" dataDxfId="388" totalsRowDxfId="389"/>
    <tableColumn id="25" xr3:uid="{00000000-0010-0000-0600-000019000000}" name="24" totalsRowFunction="count" dataDxfId="386" totalsRowDxfId="387"/>
    <tableColumn id="26" xr3:uid="{00000000-0010-0000-0600-00001A000000}" name="25" totalsRowFunction="count" dataDxfId="384" totalsRowDxfId="385"/>
    <tableColumn id="27" xr3:uid="{00000000-0010-0000-0600-00001B000000}" name="26" totalsRowFunction="count" dataDxfId="382" totalsRowDxfId="383"/>
    <tableColumn id="28" xr3:uid="{00000000-0010-0000-0600-00001C000000}" name="27" totalsRowFunction="count" dataDxfId="380" totalsRowDxfId="381"/>
    <tableColumn id="29" xr3:uid="{00000000-0010-0000-0600-00001D000000}" name="28" totalsRowFunction="count" dataDxfId="378" totalsRowDxfId="379"/>
    <tableColumn id="30" xr3:uid="{00000000-0010-0000-0600-00001E000000}" name="29" totalsRowFunction="count" dataDxfId="376" totalsRowDxfId="377"/>
    <tableColumn id="31" xr3:uid="{00000000-0010-0000-0600-00001F000000}" name="30" totalsRowFunction="sum" dataDxfId="374" totalsRowDxfId="375"/>
    <tableColumn id="32" xr3:uid="{00000000-0010-0000-0600-000020000000}" name="31" totalsRowFunction="sum" dataDxfId="372" totalsRowDxfId="373" dataCellStyle="Total"/>
    <tableColumn id="33" xr3:uid="{00000000-0010-0000-0600-000021000000}" name="Total de dias" totalsRowFunction="sum" dataDxfId="370" totalsRowDxfId="371" dataCellStyle="Total">
      <calculatedColumnFormula>COUNTA(Julho[[#This Row],[1]:[31]])</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7000000}" name="Agosto" displayName="Agosto" ref="B8:AH14" totalsRowCount="1" headerRowDxfId="364" dataDxfId="363" totalsRowDxfId="362">
  <tableColumns count="33">
    <tableColumn id="1" xr3:uid="{00000000-0010-0000-0700-000001000000}" name="Nome do funcionário" totalsRowFunction="custom" dataDxfId="360" totalsRowDxfId="361" dataCellStyle="Funcionário">
      <totalsRowFormula>NomeMês&amp;" Total"</totalsRowFormula>
    </tableColumn>
    <tableColumn id="2" xr3:uid="{00000000-0010-0000-0700-000002000000}" name="1" totalsRowFunction="count" dataDxfId="358" totalsRowDxfId="359"/>
    <tableColumn id="3" xr3:uid="{00000000-0010-0000-0700-000003000000}" name="2" totalsRowFunction="count" dataDxfId="356" totalsRowDxfId="357"/>
    <tableColumn id="4" xr3:uid="{00000000-0010-0000-0700-000004000000}" name="3" totalsRowFunction="count" dataDxfId="354" totalsRowDxfId="355"/>
    <tableColumn id="5" xr3:uid="{00000000-0010-0000-0700-000005000000}" name="4" totalsRowFunction="count" dataDxfId="352" totalsRowDxfId="353"/>
    <tableColumn id="6" xr3:uid="{00000000-0010-0000-0700-000006000000}" name="5" totalsRowFunction="count" dataDxfId="350" totalsRowDxfId="351"/>
    <tableColumn id="7" xr3:uid="{00000000-0010-0000-0700-000007000000}" name="6" totalsRowFunction="count" dataDxfId="348" totalsRowDxfId="349"/>
    <tableColumn id="8" xr3:uid="{00000000-0010-0000-0700-000008000000}" name="7" totalsRowFunction="count" dataDxfId="346" totalsRowDxfId="347"/>
    <tableColumn id="9" xr3:uid="{00000000-0010-0000-0700-000009000000}" name="8" totalsRowFunction="count" dataDxfId="344" totalsRowDxfId="345"/>
    <tableColumn id="10" xr3:uid="{00000000-0010-0000-0700-00000A000000}" name="9" totalsRowFunction="count" dataDxfId="342" totalsRowDxfId="343"/>
    <tableColumn id="11" xr3:uid="{00000000-0010-0000-0700-00000B000000}" name="10" totalsRowFunction="count" dataDxfId="340" totalsRowDxfId="341"/>
    <tableColumn id="12" xr3:uid="{00000000-0010-0000-0700-00000C000000}" name="11" totalsRowFunction="count" dataDxfId="338" totalsRowDxfId="339"/>
    <tableColumn id="13" xr3:uid="{00000000-0010-0000-0700-00000D000000}" name="12" totalsRowFunction="count" dataDxfId="336" totalsRowDxfId="337"/>
    <tableColumn id="14" xr3:uid="{00000000-0010-0000-0700-00000E000000}" name="13" totalsRowFunction="count" dataDxfId="334" totalsRowDxfId="335"/>
    <tableColumn id="15" xr3:uid="{00000000-0010-0000-0700-00000F000000}" name="14" totalsRowFunction="count" dataDxfId="332" totalsRowDxfId="333"/>
    <tableColumn id="16" xr3:uid="{00000000-0010-0000-0700-000010000000}" name="15" totalsRowFunction="count" dataDxfId="330" totalsRowDxfId="331"/>
    <tableColumn id="17" xr3:uid="{00000000-0010-0000-0700-000011000000}" name="16" totalsRowFunction="count" dataDxfId="328" totalsRowDxfId="329"/>
    <tableColumn id="18" xr3:uid="{00000000-0010-0000-0700-000012000000}" name="17" totalsRowFunction="count" dataDxfId="326" totalsRowDxfId="327"/>
    <tableColumn id="19" xr3:uid="{00000000-0010-0000-0700-000013000000}" name="18" totalsRowFunction="count" dataDxfId="324" totalsRowDxfId="325"/>
    <tableColumn id="20" xr3:uid="{00000000-0010-0000-0700-000014000000}" name="19" totalsRowFunction="count" dataDxfId="322" totalsRowDxfId="323"/>
    <tableColumn id="21" xr3:uid="{00000000-0010-0000-0700-000015000000}" name="20" totalsRowFunction="count" dataDxfId="320" totalsRowDxfId="321"/>
    <tableColumn id="22" xr3:uid="{00000000-0010-0000-0700-000016000000}" name="21" totalsRowFunction="count" dataDxfId="318" totalsRowDxfId="319"/>
    <tableColumn id="23" xr3:uid="{00000000-0010-0000-0700-000017000000}" name="22" totalsRowFunction="count" dataDxfId="316" totalsRowDxfId="317"/>
    <tableColumn id="24" xr3:uid="{00000000-0010-0000-0700-000018000000}" name="23" totalsRowFunction="count" dataDxfId="314" totalsRowDxfId="315"/>
    <tableColumn id="25" xr3:uid="{00000000-0010-0000-0700-000019000000}" name="24" totalsRowFunction="count" dataDxfId="312" totalsRowDxfId="313"/>
    <tableColumn id="26" xr3:uid="{00000000-0010-0000-0700-00001A000000}" name="25" totalsRowFunction="count" dataDxfId="310" totalsRowDxfId="311"/>
    <tableColumn id="27" xr3:uid="{00000000-0010-0000-0700-00001B000000}" name="26" totalsRowFunction="count" dataDxfId="308" totalsRowDxfId="309"/>
    <tableColumn id="28" xr3:uid="{00000000-0010-0000-0700-00001C000000}" name="27" totalsRowFunction="count" dataDxfId="306" totalsRowDxfId="307"/>
    <tableColumn id="29" xr3:uid="{00000000-0010-0000-0700-00001D000000}" name="28" totalsRowFunction="count" dataDxfId="304" totalsRowDxfId="305"/>
    <tableColumn id="30" xr3:uid="{00000000-0010-0000-0700-00001E000000}" name="29" totalsRowFunction="count" dataDxfId="302" totalsRowDxfId="303"/>
    <tableColumn id="31" xr3:uid="{00000000-0010-0000-0700-00001F000000}" name="30" totalsRowFunction="sum" dataDxfId="300" totalsRowDxfId="301"/>
    <tableColumn id="32" xr3:uid="{00000000-0010-0000-0700-000020000000}" name="31" totalsRowFunction="sum" dataDxfId="298" totalsRowDxfId="299" dataCellStyle="Total"/>
    <tableColumn id="33" xr3:uid="{00000000-0010-0000-0700-000021000000}" name="Total de dias" totalsRowFunction="sum" dataDxfId="296" totalsRowDxfId="297" dataCellStyle="Total">
      <calculatedColumnFormula>COUNTA(Agosto[[#This Row],[1]:[31]])</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8000000}" name="Setembro" displayName="Setembro" ref="B8:AH14" totalsRowCount="1" headerRowDxfId="290" dataDxfId="289" totalsRowDxfId="288">
  <tableColumns count="33">
    <tableColumn id="1" xr3:uid="{00000000-0010-0000-0800-000001000000}" name="Nome do funcionário" totalsRowFunction="custom" dataDxfId="286" totalsRowDxfId="287" dataCellStyle="Funcionário">
      <totalsRowFormula>NomeMês&amp;" Total"</totalsRowFormula>
    </tableColumn>
    <tableColumn id="2" xr3:uid="{00000000-0010-0000-0800-000002000000}" name="1" totalsRowFunction="count" dataDxfId="284" totalsRowDxfId="285"/>
    <tableColumn id="3" xr3:uid="{00000000-0010-0000-0800-000003000000}" name="2" totalsRowFunction="count" dataDxfId="282" totalsRowDxfId="283"/>
    <tableColumn id="4" xr3:uid="{00000000-0010-0000-0800-000004000000}" name="3" totalsRowFunction="count" dataDxfId="280" totalsRowDxfId="281"/>
    <tableColumn id="5" xr3:uid="{00000000-0010-0000-0800-000005000000}" name="4" totalsRowFunction="count" dataDxfId="278" totalsRowDxfId="279"/>
    <tableColumn id="6" xr3:uid="{00000000-0010-0000-0800-000006000000}" name="5" totalsRowFunction="count" dataDxfId="276" totalsRowDxfId="277"/>
    <tableColumn id="7" xr3:uid="{00000000-0010-0000-0800-000007000000}" name="6" totalsRowFunction="count" dataDxfId="274" totalsRowDxfId="275"/>
    <tableColumn id="8" xr3:uid="{00000000-0010-0000-0800-000008000000}" name="7" totalsRowFunction="count" dataDxfId="272" totalsRowDxfId="273"/>
    <tableColumn id="9" xr3:uid="{00000000-0010-0000-0800-000009000000}" name="8" totalsRowFunction="count" dataDxfId="270" totalsRowDxfId="271"/>
    <tableColumn id="10" xr3:uid="{00000000-0010-0000-0800-00000A000000}" name="9" totalsRowFunction="count" dataDxfId="268" totalsRowDxfId="269"/>
    <tableColumn id="11" xr3:uid="{00000000-0010-0000-0800-00000B000000}" name="10" totalsRowFunction="count" dataDxfId="266" totalsRowDxfId="267"/>
    <tableColumn id="12" xr3:uid="{00000000-0010-0000-0800-00000C000000}" name="11" totalsRowFunction="count" dataDxfId="264" totalsRowDxfId="265"/>
    <tableColumn id="13" xr3:uid="{00000000-0010-0000-0800-00000D000000}" name="12" totalsRowFunction="count" dataDxfId="262" totalsRowDxfId="263"/>
    <tableColumn id="14" xr3:uid="{00000000-0010-0000-0800-00000E000000}" name="13" totalsRowFunction="count" dataDxfId="260" totalsRowDxfId="261"/>
    <tableColumn id="15" xr3:uid="{00000000-0010-0000-0800-00000F000000}" name="14" totalsRowFunction="count" dataDxfId="258" totalsRowDxfId="259"/>
    <tableColumn id="16" xr3:uid="{00000000-0010-0000-0800-000010000000}" name="15" totalsRowFunction="count" dataDxfId="256" totalsRowDxfId="257"/>
    <tableColumn id="17" xr3:uid="{00000000-0010-0000-0800-000011000000}" name="16" totalsRowFunction="count" dataDxfId="254" totalsRowDxfId="255"/>
    <tableColumn id="18" xr3:uid="{00000000-0010-0000-0800-000012000000}" name="17" totalsRowFunction="count" dataDxfId="252" totalsRowDxfId="253"/>
    <tableColumn id="19" xr3:uid="{00000000-0010-0000-0800-000013000000}" name="18" totalsRowFunction="count" dataDxfId="250" totalsRowDxfId="251"/>
    <tableColumn id="20" xr3:uid="{00000000-0010-0000-0800-000014000000}" name="19" totalsRowFunction="count" dataDxfId="248" totalsRowDxfId="249"/>
    <tableColumn id="21" xr3:uid="{00000000-0010-0000-0800-000015000000}" name="20" totalsRowFunction="count" dataDxfId="246" totalsRowDxfId="247"/>
    <tableColumn id="22" xr3:uid="{00000000-0010-0000-0800-000016000000}" name="21" totalsRowFunction="count" dataDxfId="244" totalsRowDxfId="245"/>
    <tableColumn id="23" xr3:uid="{00000000-0010-0000-0800-000017000000}" name="22" totalsRowFunction="count" dataDxfId="242" totalsRowDxfId="243"/>
    <tableColumn id="24" xr3:uid="{00000000-0010-0000-0800-000018000000}" name="23" totalsRowFunction="count" dataDxfId="240" totalsRowDxfId="241"/>
    <tableColumn id="25" xr3:uid="{00000000-0010-0000-0800-000019000000}" name="24" totalsRowFunction="count" dataDxfId="238" totalsRowDxfId="239"/>
    <tableColumn id="26" xr3:uid="{00000000-0010-0000-0800-00001A000000}" name="25" totalsRowFunction="count" dataDxfId="236" totalsRowDxfId="237"/>
    <tableColumn id="27" xr3:uid="{00000000-0010-0000-0800-00001B000000}" name="26" totalsRowFunction="count" dataDxfId="234" totalsRowDxfId="235"/>
    <tableColumn id="28" xr3:uid="{00000000-0010-0000-0800-00001C000000}" name="27" totalsRowFunction="count" dataDxfId="232" totalsRowDxfId="233"/>
    <tableColumn id="29" xr3:uid="{00000000-0010-0000-0800-00001D000000}" name="28" totalsRowFunction="count" dataDxfId="230" totalsRowDxfId="231"/>
    <tableColumn id="30" xr3:uid="{00000000-0010-0000-0800-00001E000000}" name="29" totalsRowFunction="count" dataDxfId="228" totalsRowDxfId="229"/>
    <tableColumn id="31" xr3:uid="{00000000-0010-0000-0800-00001F000000}" name="30" totalsRowFunction="sum" dataDxfId="226" totalsRowDxfId="227"/>
    <tableColumn id="32" xr3:uid="{00000000-0010-0000-0800-000020000000}" name=" " totalsRowFunction="sum" dataDxfId="224" totalsRowDxfId="225" dataCellStyle="Total"/>
    <tableColumn id="33" xr3:uid="{00000000-0010-0000-0800-000021000000}" name="Total de dias" totalsRowFunction="sum" dataDxfId="222" totalsRowDxfId="223" dataCellStyle="Total">
      <calculatedColumnFormula>COUNTA(Setembro[[#This Row],[1]:[ ]])</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9000000}" name="Outubro" displayName="Outubro" ref="B8:AH14" totalsRowCount="1" headerRowDxfId="216" dataDxfId="215" totalsRowDxfId="214">
  <tableColumns count="33">
    <tableColumn id="1" xr3:uid="{00000000-0010-0000-0900-000001000000}" name="Nome do funcionário" totalsRowFunction="custom" dataDxfId="212" totalsRowDxfId="213" dataCellStyle="Funcionário">
      <totalsRowFormula>NomeMês&amp;" Total"</totalsRowFormula>
    </tableColumn>
    <tableColumn id="2" xr3:uid="{00000000-0010-0000-0900-000002000000}" name="1" totalsRowFunction="count" dataDxfId="210" totalsRowDxfId="211"/>
    <tableColumn id="3" xr3:uid="{00000000-0010-0000-0900-000003000000}" name="2" totalsRowFunction="count" dataDxfId="208" totalsRowDxfId="209"/>
    <tableColumn id="4" xr3:uid="{00000000-0010-0000-0900-000004000000}" name="3" totalsRowFunction="count" dataDxfId="206" totalsRowDxfId="207"/>
    <tableColumn id="5" xr3:uid="{00000000-0010-0000-0900-000005000000}" name="4" totalsRowFunction="count" dataDxfId="204" totalsRowDxfId="205"/>
    <tableColumn id="6" xr3:uid="{00000000-0010-0000-0900-000006000000}" name="5" totalsRowFunction="count" dataDxfId="202" totalsRowDxfId="203"/>
    <tableColumn id="7" xr3:uid="{00000000-0010-0000-0900-000007000000}" name="6" totalsRowFunction="count" dataDxfId="200" totalsRowDxfId="201"/>
    <tableColumn id="8" xr3:uid="{00000000-0010-0000-0900-000008000000}" name="7" totalsRowFunction="count" dataDxfId="198" totalsRowDxfId="199"/>
    <tableColumn id="9" xr3:uid="{00000000-0010-0000-0900-000009000000}" name="8" totalsRowFunction="count" dataDxfId="196" totalsRowDxfId="197"/>
    <tableColumn id="10" xr3:uid="{00000000-0010-0000-0900-00000A000000}" name="9" totalsRowFunction="count" dataDxfId="194" totalsRowDxfId="195"/>
    <tableColumn id="11" xr3:uid="{00000000-0010-0000-0900-00000B000000}" name="10" totalsRowFunction="count" dataDxfId="192" totalsRowDxfId="193"/>
    <tableColumn id="12" xr3:uid="{00000000-0010-0000-0900-00000C000000}" name="11" totalsRowFunction="count" dataDxfId="190" totalsRowDxfId="191"/>
    <tableColumn id="13" xr3:uid="{00000000-0010-0000-0900-00000D000000}" name="12" totalsRowFunction="count" dataDxfId="188" totalsRowDxfId="189"/>
    <tableColumn id="14" xr3:uid="{00000000-0010-0000-0900-00000E000000}" name="13" totalsRowFunction="count" dataDxfId="186" totalsRowDxfId="187"/>
    <tableColumn id="15" xr3:uid="{00000000-0010-0000-0900-00000F000000}" name="14" totalsRowFunction="count" dataDxfId="184" totalsRowDxfId="185"/>
    <tableColumn id="16" xr3:uid="{00000000-0010-0000-0900-000010000000}" name="15" totalsRowFunction="count" dataDxfId="182" totalsRowDxfId="183"/>
    <tableColumn id="17" xr3:uid="{00000000-0010-0000-0900-000011000000}" name="16" totalsRowFunction="count" dataDxfId="180" totalsRowDxfId="181"/>
    <tableColumn id="18" xr3:uid="{00000000-0010-0000-0900-000012000000}" name="17" totalsRowFunction="count" dataDxfId="178" totalsRowDxfId="179"/>
    <tableColumn id="19" xr3:uid="{00000000-0010-0000-0900-000013000000}" name="18" totalsRowFunction="count" dataDxfId="176" totalsRowDxfId="177"/>
    <tableColumn id="20" xr3:uid="{00000000-0010-0000-0900-000014000000}" name="19" totalsRowFunction="count" dataDxfId="174" totalsRowDxfId="175"/>
    <tableColumn id="21" xr3:uid="{00000000-0010-0000-0900-000015000000}" name="20" totalsRowFunction="count" dataDxfId="172" totalsRowDxfId="173"/>
    <tableColumn id="22" xr3:uid="{00000000-0010-0000-0900-000016000000}" name="21" totalsRowFunction="count" dataDxfId="170" totalsRowDxfId="171"/>
    <tableColumn id="23" xr3:uid="{00000000-0010-0000-0900-000017000000}" name="22" totalsRowFunction="count" dataDxfId="168" totalsRowDxfId="169"/>
    <tableColumn id="24" xr3:uid="{00000000-0010-0000-0900-000018000000}" name="23" totalsRowFunction="count" dataDxfId="166" totalsRowDxfId="167"/>
    <tableColumn id="25" xr3:uid="{00000000-0010-0000-0900-000019000000}" name="24" totalsRowFunction="count" dataDxfId="164" totalsRowDxfId="165"/>
    <tableColumn id="26" xr3:uid="{00000000-0010-0000-0900-00001A000000}" name="25" totalsRowFunction="count" dataDxfId="162" totalsRowDxfId="163"/>
    <tableColumn id="27" xr3:uid="{00000000-0010-0000-0900-00001B000000}" name="26" totalsRowFunction="count" dataDxfId="160" totalsRowDxfId="161"/>
    <tableColumn id="28" xr3:uid="{00000000-0010-0000-0900-00001C000000}" name="27" totalsRowFunction="count" dataDxfId="158" totalsRowDxfId="159"/>
    <tableColumn id="29" xr3:uid="{00000000-0010-0000-0900-00001D000000}" name="28" totalsRowFunction="count" dataDxfId="156" totalsRowDxfId="157"/>
    <tableColumn id="30" xr3:uid="{00000000-0010-0000-0900-00001E000000}" name="29" totalsRowFunction="count" dataDxfId="154" totalsRowDxfId="155"/>
    <tableColumn id="31" xr3:uid="{00000000-0010-0000-0900-00001F000000}" name="30" totalsRowFunction="sum" dataDxfId="152" totalsRowDxfId="153"/>
    <tableColumn id="32" xr3:uid="{00000000-0010-0000-0900-000020000000}" name="31" totalsRowFunction="sum" dataDxfId="150" totalsRowDxfId="151" dataCellStyle="Total"/>
    <tableColumn id="33" xr3:uid="{00000000-0010-0000-0900-000021000000}" name="Total de dias" totalsRowFunction="sum" dataDxfId="148" totalsRowDxfId="149" dataCellStyle="Total">
      <calculatedColumnFormula>COUNTA(Outubro[[#This Row],[1]:[31]])</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A000000}" name="Novembro" displayName="Novembro" ref="B8:AH14" totalsRowCount="1" headerRowDxfId="142" dataDxfId="141" totalsRowDxfId="140">
  <tableColumns count="33">
    <tableColumn id="1" xr3:uid="{00000000-0010-0000-0A00-000001000000}" name="Nome do funcionário" totalsRowFunction="custom" dataDxfId="138" totalsRowDxfId="139" dataCellStyle="Funcionário">
      <totalsRowFormula>NomeMês&amp;" Total"</totalsRowFormula>
    </tableColumn>
    <tableColumn id="2" xr3:uid="{00000000-0010-0000-0A00-000002000000}" name="1" totalsRowFunction="count" dataDxfId="136" totalsRowDxfId="137"/>
    <tableColumn id="3" xr3:uid="{00000000-0010-0000-0A00-000003000000}" name="2" totalsRowFunction="count" dataDxfId="134" totalsRowDxfId="135"/>
    <tableColumn id="4" xr3:uid="{00000000-0010-0000-0A00-000004000000}" name="3" totalsRowFunction="count" dataDxfId="132" totalsRowDxfId="133"/>
    <tableColumn id="5" xr3:uid="{00000000-0010-0000-0A00-000005000000}" name="4" totalsRowFunction="count" dataDxfId="130" totalsRowDxfId="131"/>
    <tableColumn id="6" xr3:uid="{00000000-0010-0000-0A00-000006000000}" name="5" totalsRowFunction="count" dataDxfId="128" totalsRowDxfId="129"/>
    <tableColumn id="7" xr3:uid="{00000000-0010-0000-0A00-000007000000}" name="6" totalsRowFunction="count" dataDxfId="126" totalsRowDxfId="127"/>
    <tableColumn id="8" xr3:uid="{00000000-0010-0000-0A00-000008000000}" name="7" totalsRowFunction="count" dataDxfId="124" totalsRowDxfId="125"/>
    <tableColumn id="9" xr3:uid="{00000000-0010-0000-0A00-000009000000}" name="8" totalsRowFunction="count" dataDxfId="122" totalsRowDxfId="123"/>
    <tableColumn id="10" xr3:uid="{00000000-0010-0000-0A00-00000A000000}" name="9" totalsRowFunction="count" dataDxfId="120" totalsRowDxfId="121"/>
    <tableColumn id="11" xr3:uid="{00000000-0010-0000-0A00-00000B000000}" name="10" totalsRowFunction="count" dataDxfId="118" totalsRowDxfId="119"/>
    <tableColumn id="12" xr3:uid="{00000000-0010-0000-0A00-00000C000000}" name="11" totalsRowFunction="count" dataDxfId="116" totalsRowDxfId="117"/>
    <tableColumn id="13" xr3:uid="{00000000-0010-0000-0A00-00000D000000}" name="12" totalsRowFunction="count" dataDxfId="114" totalsRowDxfId="115"/>
    <tableColumn id="14" xr3:uid="{00000000-0010-0000-0A00-00000E000000}" name="13" totalsRowFunction="count" dataDxfId="112" totalsRowDxfId="113"/>
    <tableColumn id="15" xr3:uid="{00000000-0010-0000-0A00-00000F000000}" name="14" totalsRowFunction="count" dataDxfId="110" totalsRowDxfId="111"/>
    <tableColumn id="16" xr3:uid="{00000000-0010-0000-0A00-000010000000}" name="15" totalsRowFunction="count" dataDxfId="108" totalsRowDxfId="109"/>
    <tableColumn id="17" xr3:uid="{00000000-0010-0000-0A00-000011000000}" name="16" totalsRowFunction="count" dataDxfId="106" totalsRowDxfId="107"/>
    <tableColumn id="18" xr3:uid="{00000000-0010-0000-0A00-000012000000}" name="17" totalsRowFunction="count" dataDxfId="104" totalsRowDxfId="105"/>
    <tableColumn id="19" xr3:uid="{00000000-0010-0000-0A00-000013000000}" name="18" totalsRowFunction="count" dataDxfId="102" totalsRowDxfId="103"/>
    <tableColumn id="20" xr3:uid="{00000000-0010-0000-0A00-000014000000}" name="19" totalsRowFunction="count" dataDxfId="100" totalsRowDxfId="101"/>
    <tableColumn id="21" xr3:uid="{00000000-0010-0000-0A00-000015000000}" name="20" totalsRowFunction="count" dataDxfId="98" totalsRowDxfId="99"/>
    <tableColumn id="22" xr3:uid="{00000000-0010-0000-0A00-000016000000}" name="21" totalsRowFunction="count" dataDxfId="96" totalsRowDxfId="97"/>
    <tableColumn id="23" xr3:uid="{00000000-0010-0000-0A00-000017000000}" name="22" totalsRowFunction="count" dataDxfId="94" totalsRowDxfId="95"/>
    <tableColumn id="24" xr3:uid="{00000000-0010-0000-0A00-000018000000}" name="23" totalsRowFunction="count" dataDxfId="92" totalsRowDxfId="93"/>
    <tableColumn id="25" xr3:uid="{00000000-0010-0000-0A00-000019000000}" name="24" totalsRowFunction="count" dataDxfId="90" totalsRowDxfId="91"/>
    <tableColumn id="26" xr3:uid="{00000000-0010-0000-0A00-00001A000000}" name="25" totalsRowFunction="count" dataDxfId="88" totalsRowDxfId="89"/>
    <tableColumn id="27" xr3:uid="{00000000-0010-0000-0A00-00001B000000}" name="26" totalsRowFunction="count" dataDxfId="86" totalsRowDxfId="87"/>
    <tableColumn id="28" xr3:uid="{00000000-0010-0000-0A00-00001C000000}" name="27" totalsRowFunction="count" dataDxfId="84" totalsRowDxfId="85"/>
    <tableColumn id="29" xr3:uid="{00000000-0010-0000-0A00-00001D000000}" name="28" totalsRowFunction="count" dataDxfId="82" totalsRowDxfId="83"/>
    <tableColumn id="30" xr3:uid="{00000000-0010-0000-0A00-00001E000000}" name="29" totalsRowFunction="count" dataDxfId="80" totalsRowDxfId="81"/>
    <tableColumn id="31" xr3:uid="{00000000-0010-0000-0A00-00001F000000}" name="30" totalsRowFunction="sum" dataDxfId="78" totalsRowDxfId="79"/>
    <tableColumn id="32" xr3:uid="{00000000-0010-0000-0A00-000020000000}" name=" " totalsRowFunction="sum" dataDxfId="76" totalsRowDxfId="77" dataCellStyle="Total"/>
    <tableColumn id="33" xr3:uid="{00000000-0010-0000-0A00-000021000000}" name="Total de dias" totalsRowFunction="sum" dataDxfId="74" totalsRowDxfId="75" dataCellStyle="Total">
      <calculatedColumnFormula>COUNTA(Novembro[[#This Row],[1]:[ ]])</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ça os nomes dos funcionários e as datas de falta. Registre o tipo de falta de acordo com a chave na linha 12: F=Férias, L=Licença médica, P=Pessoal e dois espaços reservados para entradas personalizadas."/>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Dezembro" displayName="Dezembro" ref="B8:AH14" totalsRowCount="1" headerRowDxfId="68" dataDxfId="67" totalsRowDxfId="66">
  <tableColumns count="33">
    <tableColumn id="1" xr3:uid="{00000000-0010-0000-0B00-000001000000}" name="Nome do funcionário" totalsRowFunction="custom" dataDxfId="64" totalsRowDxfId="65" dataCellStyle="Funcionário">
      <totalsRowFormula>NomeMês&amp;" Total"</totalsRowFormula>
    </tableColumn>
    <tableColumn id="2" xr3:uid="{00000000-0010-0000-0B00-000002000000}" name="1" totalsRowFunction="count" dataDxfId="62" totalsRowDxfId="63"/>
    <tableColumn id="3" xr3:uid="{00000000-0010-0000-0B00-000003000000}" name="2" totalsRowFunction="count" dataDxfId="60" totalsRowDxfId="61"/>
    <tableColumn id="4" xr3:uid="{00000000-0010-0000-0B00-000004000000}" name="3" totalsRowFunction="count" dataDxfId="58" totalsRowDxfId="59"/>
    <tableColumn id="5" xr3:uid="{00000000-0010-0000-0B00-000005000000}" name="4" totalsRowFunction="count" dataDxfId="56" totalsRowDxfId="57"/>
    <tableColumn id="6" xr3:uid="{00000000-0010-0000-0B00-000006000000}" name="5" totalsRowFunction="count" dataDxfId="54" totalsRowDxfId="55"/>
    <tableColumn id="7" xr3:uid="{00000000-0010-0000-0B00-000007000000}" name="6" totalsRowFunction="count" dataDxfId="52" totalsRowDxfId="53"/>
    <tableColumn id="8" xr3:uid="{00000000-0010-0000-0B00-000008000000}" name="7" totalsRowFunction="count" dataDxfId="50" totalsRowDxfId="51"/>
    <tableColumn id="9" xr3:uid="{00000000-0010-0000-0B00-000009000000}" name="8" totalsRowFunction="count" dataDxfId="48" totalsRowDxfId="49"/>
    <tableColumn id="10" xr3:uid="{00000000-0010-0000-0B00-00000A000000}" name="9" totalsRowFunction="count" dataDxfId="46" totalsRowDxfId="47"/>
    <tableColumn id="11" xr3:uid="{00000000-0010-0000-0B00-00000B000000}" name="10" totalsRowFunction="count" dataDxfId="44" totalsRowDxfId="45"/>
    <tableColumn id="12" xr3:uid="{00000000-0010-0000-0B00-00000C000000}" name="11" totalsRowFunction="count" dataDxfId="42" totalsRowDxfId="43"/>
    <tableColumn id="13" xr3:uid="{00000000-0010-0000-0B00-00000D000000}" name="12" totalsRowFunction="count" dataDxfId="40" totalsRowDxfId="41"/>
    <tableColumn id="14" xr3:uid="{00000000-0010-0000-0B00-00000E000000}" name="13" totalsRowFunction="count" dataDxfId="38" totalsRowDxfId="39"/>
    <tableColumn id="15" xr3:uid="{00000000-0010-0000-0B00-00000F000000}" name="14" totalsRowFunction="count" dataDxfId="36" totalsRowDxfId="37"/>
    <tableColumn id="16" xr3:uid="{00000000-0010-0000-0B00-000010000000}" name="15" totalsRowFunction="count" dataDxfId="34" totalsRowDxfId="35"/>
    <tableColumn id="17" xr3:uid="{00000000-0010-0000-0B00-000011000000}" name="16" totalsRowFunction="count" dataDxfId="32" totalsRowDxfId="33"/>
    <tableColumn id="18" xr3:uid="{00000000-0010-0000-0B00-000012000000}" name="17" totalsRowFunction="count" dataDxfId="30" totalsRowDxfId="31"/>
    <tableColumn id="19" xr3:uid="{00000000-0010-0000-0B00-000013000000}" name="18" totalsRowFunction="count" dataDxfId="28" totalsRowDxfId="29"/>
    <tableColumn id="20" xr3:uid="{00000000-0010-0000-0B00-000014000000}" name="19" totalsRowFunction="count" dataDxfId="26" totalsRowDxfId="27"/>
    <tableColumn id="21" xr3:uid="{00000000-0010-0000-0B00-000015000000}" name="20" totalsRowFunction="count" dataDxfId="24" totalsRowDxfId="25"/>
    <tableColumn id="22" xr3:uid="{00000000-0010-0000-0B00-000016000000}" name="21" totalsRowFunction="count" dataDxfId="22" totalsRowDxfId="23"/>
    <tableColumn id="23" xr3:uid="{00000000-0010-0000-0B00-000017000000}" name="22" totalsRowFunction="count" dataDxfId="20" totalsRowDxfId="21"/>
    <tableColumn id="24" xr3:uid="{00000000-0010-0000-0B00-000018000000}" name="23" totalsRowFunction="count" dataDxfId="18" totalsRowDxfId="19"/>
    <tableColumn id="25" xr3:uid="{00000000-0010-0000-0B00-000019000000}" name="24" totalsRowFunction="count" dataDxfId="16" totalsRowDxfId="17"/>
    <tableColumn id="26" xr3:uid="{00000000-0010-0000-0B00-00001A000000}" name="25" totalsRowFunction="count" dataDxfId="14" totalsRowDxfId="15"/>
    <tableColumn id="27" xr3:uid="{00000000-0010-0000-0B00-00001B000000}" name="26" totalsRowFunction="count" dataDxfId="12" totalsRowDxfId="13"/>
    <tableColumn id="28" xr3:uid="{00000000-0010-0000-0B00-00001C000000}" name="27" totalsRowFunction="count" dataDxfId="10" totalsRowDxfId="11"/>
    <tableColumn id="29" xr3:uid="{00000000-0010-0000-0B00-00001D000000}" name="28" totalsRowFunction="count" dataDxfId="8" totalsRowDxfId="9"/>
    <tableColumn id="30" xr3:uid="{00000000-0010-0000-0B00-00001E000000}" name="29" totalsRowFunction="count" dataDxfId="6" totalsRowDxfId="7"/>
    <tableColumn id="31" xr3:uid="{00000000-0010-0000-0B00-00001F000000}" name="30" totalsRowFunction="sum" dataDxfId="4" totalsRowDxfId="5"/>
    <tableColumn id="32" xr3:uid="{00000000-0010-0000-0B00-000020000000}" name="31" totalsRowFunction="sum" dataDxfId="2" totalsRowDxfId="3" dataCellStyle="Total"/>
    <tableColumn id="33" xr3:uid="{00000000-0010-0000-0B00-000021000000}" name="Total de dias" totalsRowFunction="sum" dataDxfId="0" totalsRowDxfId="1" dataCellStyle="Total">
      <calculatedColumnFormula>COUNTA(Dezembro[[#This Row],[1]:[31]])</calculatedColumnFormula>
    </tableColumn>
  </tableColumns>
  <tableStyleInfo name="Tabela de Faltas dos Funcionários" showFirstColumn="1" showLastColumn="1" showRowStripes="1" showColumnStripes="0"/>
  <extLst>
    <ext xmlns:x14="http://schemas.microsoft.com/office/spreadsheetml/2009/9/main" uri="{504A1905-F514-4f6f-8877-14C23A59335A}">
      <x14:table altTextSummary="Fornece uma lista de nomes e datas do calendário para registrar as faltas dos funcionários e o tipo de falta específico, como F=Férias, L=Licença, P=Pessoal e dois espaços reservados para entradas personalizadas."/>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NomeDoFuncionário" displayName="NomeDoFuncionário" ref="B3:B8" totalsRowShown="0">
  <autoFilter ref="B3:B8" xr:uid="{00000000-0009-0000-0100-00000D000000}"/>
  <tableColumns count="1">
    <tableColumn id="1" xr3:uid="{00000000-0010-0000-0C00-000001000000}" name="Nomes dos Funcionários" dataCellStyle="Funcionário"/>
  </tableColumns>
  <tableStyleInfo name="Tabela de Faltas dos Funcionários" showFirstColumn="1" showLastColumn="1" showRowStripes="1" showColumnStripes="0"/>
  <extLst>
    <ext xmlns:x14="http://schemas.microsoft.com/office/spreadsheetml/2009/9/main" uri="{504A1905-F514-4f6f-8877-14C23A59335A}">
      <x14:table altTextSummary="Insira os nomes dos funcionários nesta tabela. Estes nomes são usados como opções na coluna B de agenda de faltas de cada mês."/>
    </ext>
  </extLst>
</table>
</file>

<file path=xl/theme/theme1.xml><?xml version="1.0" encoding="utf-8"?>
<a:theme xmlns:a="http://schemas.openxmlformats.org/drawingml/2006/main" name="Office Theme">
  <a:themeElements>
    <a:clrScheme name="TM03987167">
      <a:dk1>
        <a:srgbClr val="000000"/>
      </a:dk1>
      <a:lt1>
        <a:srgbClr val="FFFFFF"/>
      </a:lt1>
      <a:dk2>
        <a:srgbClr val="44546A"/>
      </a:dk2>
      <a:lt2>
        <a:srgbClr val="E7E6E6"/>
      </a:lt2>
      <a:accent1>
        <a:srgbClr val="1F452F"/>
      </a:accent1>
      <a:accent2>
        <a:srgbClr val="709A97"/>
      </a:accent2>
      <a:accent3>
        <a:srgbClr val="1B417C"/>
      </a:accent3>
      <a:accent4>
        <a:srgbClr val="D8A141"/>
      </a:accent4>
      <a:accent5>
        <a:srgbClr val="CAAFF3"/>
      </a:accent5>
      <a:accent6>
        <a:srgbClr val="EF5C37"/>
      </a:accent6>
      <a:hlink>
        <a:srgbClr val="0563C1"/>
      </a:hlink>
      <a:folHlink>
        <a:srgbClr val="954F72"/>
      </a:folHlink>
    </a:clrScheme>
    <a:fontScheme name="Employee Absence Schedule">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pageSetUpPr fitToPage="1"/>
  </sheetPr>
  <dimension ref="A1:AH14"/>
  <sheetViews>
    <sheetView showGridLines="0" tabSelected="1"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1:34" s="15" customFormat="1" ht="49.9" customHeight="1">
      <c r="A1" s="14"/>
      <c r="B1" s="26" t="s">
        <v>0</v>
      </c>
    </row>
    <row r="2" spans="1:34" s="15" customFormat="1" ht="100.15" customHeight="1">
      <c r="A2"/>
      <c r="B2" s="25" t="s">
        <v>1</v>
      </c>
    </row>
    <row r="3" spans="1:34" s="15" customFormat="1" ht="15" customHeight="1">
      <c r="A3"/>
      <c r="B3" s="10"/>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row>
    <row r="4" spans="1: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1:34" ht="15" customHeight="1">
      <c r="B5" s="17"/>
      <c r="C5" s="17"/>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8"/>
    </row>
    <row r="6" spans="1: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v>2023</v>
      </c>
    </row>
    <row r="7" spans="1:34" ht="30" customHeight="1">
      <c r="B7" s="7"/>
      <c r="C7" s="23" t="str">
        <f>TEXT(WEEKDAY(DATE(AnoCalendário,1,1),1),"ddd")</f>
        <v>dom</v>
      </c>
      <c r="D7" s="23" t="str">
        <f>TEXT(WEEKDAY(DATE(AnoCalendário,1,2),1),"ddd")</f>
        <v>seg</v>
      </c>
      <c r="E7" s="23" t="str">
        <f>TEXT(WEEKDAY(DATE(AnoCalendário,1,3),1),"ddd")</f>
        <v>ter</v>
      </c>
      <c r="F7" s="23" t="str">
        <f>TEXT(WEEKDAY(DATE(AnoCalendário,1,4),1),"ddd")</f>
        <v>qua</v>
      </c>
      <c r="G7" s="23" t="str">
        <f>TEXT(WEEKDAY(DATE(AnoCalendário,1,5),1),"ddd")</f>
        <v>qui</v>
      </c>
      <c r="H7" s="23" t="str">
        <f>TEXT(WEEKDAY(DATE(AnoCalendário,1,6),1),"ddd")</f>
        <v>sex</v>
      </c>
      <c r="I7" s="23" t="str">
        <f>TEXT(WEEKDAY(DATE(AnoCalendário,1,7),1),"ddd")</f>
        <v>sáb</v>
      </c>
      <c r="J7" s="23" t="str">
        <f>TEXT(WEEKDAY(DATE(AnoCalendário,1,8),1),"ddd")</f>
        <v>dom</v>
      </c>
      <c r="K7" s="23" t="str">
        <f>TEXT(WEEKDAY(DATE(AnoCalendário,1,9),1),"ddd")</f>
        <v>seg</v>
      </c>
      <c r="L7" s="23" t="str">
        <f>TEXT(WEEKDAY(DATE(AnoCalendário,1,10),1),"ddd")</f>
        <v>ter</v>
      </c>
      <c r="M7" s="23" t="str">
        <f>TEXT(WEEKDAY(DATE(AnoCalendário,1,11),1),"ddd")</f>
        <v>qua</v>
      </c>
      <c r="N7" s="23" t="str">
        <f>TEXT(WEEKDAY(DATE(AnoCalendário,1,12),1),"ddd")</f>
        <v>qui</v>
      </c>
      <c r="O7" s="23" t="str">
        <f>TEXT(WEEKDAY(DATE(AnoCalendário,1,13),1),"ddd")</f>
        <v>sex</v>
      </c>
      <c r="P7" s="23" t="str">
        <f>TEXT(WEEKDAY(DATE(AnoCalendário,1,14),1),"ddd")</f>
        <v>sáb</v>
      </c>
      <c r="Q7" s="23" t="str">
        <f>TEXT(WEEKDAY(DATE(AnoCalendário,1,15),1),"ddd")</f>
        <v>dom</v>
      </c>
      <c r="R7" s="23" t="str">
        <f>TEXT(WEEKDAY(DATE(AnoCalendário,1,16),1),"ddd")</f>
        <v>seg</v>
      </c>
      <c r="S7" s="23" t="str">
        <f>TEXT(WEEKDAY(DATE(AnoCalendário,1,17),1),"ddd")</f>
        <v>ter</v>
      </c>
      <c r="T7" s="23" t="str">
        <f>TEXT(WEEKDAY(DATE(AnoCalendário,1,18),1),"ddd")</f>
        <v>qua</v>
      </c>
      <c r="U7" s="23" t="str">
        <f>TEXT(WEEKDAY(DATE(AnoCalendário,1,19),1),"ddd")</f>
        <v>qui</v>
      </c>
      <c r="V7" s="23" t="str">
        <f>TEXT(WEEKDAY(DATE(AnoCalendário,1,20),1),"ddd")</f>
        <v>sex</v>
      </c>
      <c r="W7" s="23" t="str">
        <f>TEXT(WEEKDAY(DATE(AnoCalendário,1,21),1),"ddd")</f>
        <v>sáb</v>
      </c>
      <c r="X7" s="23" t="str">
        <f>TEXT(WEEKDAY(DATE(AnoCalendário,1,22),1),"ddd")</f>
        <v>dom</v>
      </c>
      <c r="Y7" s="23" t="str">
        <f>TEXT(WEEKDAY(DATE(AnoCalendário,1,23),1),"ddd")</f>
        <v>seg</v>
      </c>
      <c r="Z7" s="23" t="str">
        <f>TEXT(WEEKDAY(DATE(AnoCalendário,1,24),1),"ddd")</f>
        <v>ter</v>
      </c>
      <c r="AA7" s="23" t="str">
        <f>TEXT(WEEKDAY(DATE(AnoCalendário,1,25),1),"ddd")</f>
        <v>qua</v>
      </c>
      <c r="AB7" s="23" t="str">
        <f>TEXT(WEEKDAY(DATE(AnoCalendário,1,26),1),"ddd")</f>
        <v>qui</v>
      </c>
      <c r="AC7" s="23" t="str">
        <f>TEXT(WEEKDAY(DATE(AnoCalendário,1,27),1),"ddd")</f>
        <v>sex</v>
      </c>
      <c r="AD7" s="23" t="str">
        <f>TEXT(WEEKDAY(DATE(AnoCalendário,1,28),1),"ddd")</f>
        <v>sáb</v>
      </c>
      <c r="AE7" s="23" t="str">
        <f>TEXT(WEEKDAY(DATE(AnoCalendário,1,29),1),"ddd")</f>
        <v>dom</v>
      </c>
      <c r="AF7" s="23" t="str">
        <f>TEXT(WEEKDAY(DATE(AnoCalendário,1,30),1),"ddd")</f>
        <v>seg</v>
      </c>
      <c r="AG7" s="23" t="str">
        <f>TEXT(WEEKDAY(DATE(AnoCalendário,1,31),1),"ddd")</f>
        <v>ter</v>
      </c>
      <c r="AH7" s="7"/>
    </row>
    <row r="8" spans="1: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1:34" ht="30" customHeight="1">
      <c r="B9" s="2" t="s">
        <v>45</v>
      </c>
      <c r="C9" s="1"/>
      <c r="D9" s="1"/>
      <c r="E9" s="21" t="s">
        <v>3</v>
      </c>
      <c r="F9" s="21" t="s">
        <v>3</v>
      </c>
      <c r="G9" s="21" t="s">
        <v>3</v>
      </c>
      <c r="H9" s="21" t="s">
        <v>3</v>
      </c>
      <c r="I9" s="1"/>
      <c r="J9" s="1"/>
      <c r="K9" s="1"/>
      <c r="L9" s="1"/>
      <c r="M9" s="1"/>
      <c r="N9" s="1"/>
      <c r="O9" s="1" t="s">
        <v>3</v>
      </c>
      <c r="P9" s="1"/>
      <c r="Q9" s="1"/>
      <c r="R9" s="1"/>
      <c r="S9" s="1"/>
      <c r="T9" s="1"/>
      <c r="U9" s="1"/>
      <c r="V9" s="1"/>
      <c r="W9" s="1"/>
      <c r="X9" s="1"/>
      <c r="Y9" s="1"/>
      <c r="Z9" s="1"/>
      <c r="AA9" s="1"/>
      <c r="AB9" s="1"/>
      <c r="AC9" s="1"/>
      <c r="AD9" s="1"/>
      <c r="AE9" s="1"/>
      <c r="AF9" s="1"/>
      <c r="AG9" s="1"/>
      <c r="AH9" s="3">
        <f>COUNTA(Janeiro!$C9:$AG9)</f>
        <v>5</v>
      </c>
    </row>
    <row r="10" spans="1:34" ht="30" customHeight="1">
      <c r="B10" s="2" t="s">
        <v>46</v>
      </c>
      <c r="C10" s="1"/>
      <c r="D10" s="1"/>
      <c r="E10" s="1"/>
      <c r="F10" s="1"/>
      <c r="G10" s="1" t="s">
        <v>7</v>
      </c>
      <c r="H10" s="1" t="s">
        <v>7</v>
      </c>
      <c r="I10" s="1"/>
      <c r="J10" s="1"/>
      <c r="K10" s="1"/>
      <c r="L10" s="1"/>
      <c r="M10" s="1" t="s">
        <v>5</v>
      </c>
      <c r="N10" s="1"/>
      <c r="O10" s="1"/>
      <c r="P10" s="1"/>
      <c r="Q10" s="1"/>
      <c r="R10" s="1"/>
      <c r="S10" s="1"/>
      <c r="T10" s="1"/>
      <c r="U10" s="1"/>
      <c r="V10" s="1" t="s">
        <v>7</v>
      </c>
      <c r="W10" s="1"/>
      <c r="X10" s="1"/>
      <c r="Y10" s="1"/>
      <c r="Z10" s="1"/>
      <c r="AA10" s="1" t="s">
        <v>3</v>
      </c>
      <c r="AB10" s="1" t="s">
        <v>3</v>
      </c>
      <c r="AC10" s="1" t="s">
        <v>3</v>
      </c>
      <c r="AD10" s="1"/>
      <c r="AE10" s="1"/>
      <c r="AF10" s="1"/>
      <c r="AG10" s="1"/>
      <c r="AH10" s="3">
        <f>COUNTA(Janeiro!$C10:$AG10)</f>
        <v>7</v>
      </c>
    </row>
    <row r="11" spans="1:34" ht="30" customHeight="1">
      <c r="B11" s="2" t="s">
        <v>47</v>
      </c>
      <c r="C11" s="1"/>
      <c r="D11" s="1"/>
      <c r="E11" s="1" t="s">
        <v>5</v>
      </c>
      <c r="F11" s="1"/>
      <c r="G11" s="1"/>
      <c r="H11" s="1"/>
      <c r="I11" s="1"/>
      <c r="J11" s="1"/>
      <c r="K11" s="1"/>
      <c r="L11" s="1"/>
      <c r="M11" s="1"/>
      <c r="N11" s="1"/>
      <c r="O11" s="1"/>
      <c r="P11" s="1" t="s">
        <v>7</v>
      </c>
      <c r="Q11" s="1"/>
      <c r="R11" s="1"/>
      <c r="S11" s="1"/>
      <c r="T11" s="1"/>
      <c r="U11" s="1"/>
      <c r="V11" s="1"/>
      <c r="W11" s="1"/>
      <c r="X11" s="1"/>
      <c r="Y11" s="1"/>
      <c r="Z11" s="1"/>
      <c r="AA11" s="1"/>
      <c r="AB11" s="1"/>
      <c r="AC11" s="1"/>
      <c r="AD11" s="1"/>
      <c r="AE11" s="1" t="s">
        <v>7</v>
      </c>
      <c r="AF11" s="1"/>
      <c r="AG11" s="1"/>
      <c r="AH11" s="3">
        <f>COUNTA(Janeiro!$C11:$AG11)</f>
        <v>3</v>
      </c>
    </row>
    <row r="12" spans="1:34" ht="30" customHeight="1">
      <c r="B12" s="2" t="s">
        <v>48</v>
      </c>
      <c r="C12" s="1"/>
      <c r="D12" s="1"/>
      <c r="E12" s="1"/>
      <c r="F12" s="1"/>
      <c r="G12" s="1"/>
      <c r="H12" s="1"/>
      <c r="I12" s="1" t="s">
        <v>5</v>
      </c>
      <c r="J12" s="1"/>
      <c r="K12" s="1"/>
      <c r="L12" s="1"/>
      <c r="M12" s="1"/>
      <c r="N12" s="1"/>
      <c r="O12" s="1"/>
      <c r="P12" s="1"/>
      <c r="Q12" s="1"/>
      <c r="R12" s="1"/>
      <c r="S12" s="1"/>
      <c r="T12" s="1"/>
      <c r="U12" s="1" t="s">
        <v>3</v>
      </c>
      <c r="V12" s="1" t="s">
        <v>3</v>
      </c>
      <c r="W12" s="1" t="s">
        <v>3</v>
      </c>
      <c r="X12" s="1"/>
      <c r="Y12" s="1"/>
      <c r="Z12" s="1"/>
      <c r="AA12" s="1"/>
      <c r="AB12" s="1"/>
      <c r="AC12" s="1"/>
      <c r="AD12" s="1"/>
      <c r="AE12" s="1"/>
      <c r="AF12" s="1"/>
      <c r="AG12" s="1"/>
      <c r="AH12" s="3">
        <f>COUNTA(Janeiro!$C12:$AG12)</f>
        <v>4</v>
      </c>
    </row>
    <row r="13" spans="1:34" ht="30" customHeight="1">
      <c r="B13" s="2" t="s">
        <v>49</v>
      </c>
      <c r="C13" s="1"/>
      <c r="D13" s="1"/>
      <c r="E13" s="1"/>
      <c r="F13" s="1" t="s">
        <v>7</v>
      </c>
      <c r="G13" s="1" t="s">
        <v>3</v>
      </c>
      <c r="H13" s="1" t="s">
        <v>3</v>
      </c>
      <c r="I13" s="1"/>
      <c r="J13" s="1"/>
      <c r="K13" s="1"/>
      <c r="L13" s="1"/>
      <c r="M13" s="1"/>
      <c r="N13" s="1"/>
      <c r="O13" s="1"/>
      <c r="P13" s="1"/>
      <c r="Q13" s="1"/>
      <c r="R13" s="1"/>
      <c r="S13" s="1" t="s">
        <v>7</v>
      </c>
      <c r="T13" s="1"/>
      <c r="U13" s="1"/>
      <c r="V13" s="1"/>
      <c r="W13" s="1"/>
      <c r="X13" s="1"/>
      <c r="Y13" s="1"/>
      <c r="Z13" s="1" t="s">
        <v>7</v>
      </c>
      <c r="AA13" s="1"/>
      <c r="AB13" s="1"/>
      <c r="AC13" s="1"/>
      <c r="AD13" s="1"/>
      <c r="AE13" s="1"/>
      <c r="AF13" s="1"/>
      <c r="AG13" s="1" t="s">
        <v>50</v>
      </c>
      <c r="AH13" s="3">
        <f>COUNTA(Janeiro!$C13:$AG13)</f>
        <v>6</v>
      </c>
    </row>
    <row r="14" spans="1:34" ht="30" customHeight="1">
      <c r="B14" s="5" t="str">
        <f>NomeMês&amp;" total"</f>
        <v>Janeiro total</v>
      </c>
      <c r="C14" s="4">
        <f>SUBTOTAL(103,Janeiro!$C$9:$C$13)</f>
        <v>0</v>
      </c>
      <c r="D14" s="4">
        <f>SUBTOTAL(103,Janeiro!$D$9:$D$13)</f>
        <v>0</v>
      </c>
      <c r="E14" s="4">
        <f>SUBTOTAL(103,Janeiro!$E$9:$E$13)</f>
        <v>2</v>
      </c>
      <c r="F14" s="4">
        <f>SUBTOTAL(103,Janeiro!$F$9:$F$13)</f>
        <v>2</v>
      </c>
      <c r="G14" s="4">
        <f>SUBTOTAL(103,Janeiro!$G$9:$G$13)</f>
        <v>3</v>
      </c>
      <c r="H14" s="4">
        <f>SUBTOTAL(103,Janeiro!$H$9:$H$13)</f>
        <v>3</v>
      </c>
      <c r="I14" s="4">
        <f>SUBTOTAL(103,Janeiro!$I$9:$I$13)</f>
        <v>1</v>
      </c>
      <c r="J14" s="4">
        <f>SUBTOTAL(103,Janeiro!$J$9:$J$13)</f>
        <v>0</v>
      </c>
      <c r="K14" s="4">
        <f>SUBTOTAL(103,Janeiro!$K$9:$K$13)</f>
        <v>0</v>
      </c>
      <c r="L14" s="4">
        <f>SUBTOTAL(103,Janeiro!$L$9:$L$13)</f>
        <v>0</v>
      </c>
      <c r="M14" s="4">
        <f>SUBTOTAL(103,Janeiro!$M$9:$M$13)</f>
        <v>1</v>
      </c>
      <c r="N14" s="4">
        <f>SUBTOTAL(103,Janeiro!$N$9:$N$13)</f>
        <v>0</v>
      </c>
      <c r="O14" s="4">
        <f>SUBTOTAL(103,Janeiro!$O$9:$O$13)</f>
        <v>1</v>
      </c>
      <c r="P14" s="4">
        <f>SUBTOTAL(103,Janeiro!$P$9:$P$13)</f>
        <v>1</v>
      </c>
      <c r="Q14" s="4">
        <f>SUBTOTAL(103,Janeiro!$Q$9:$Q$13)</f>
        <v>0</v>
      </c>
      <c r="R14" s="4">
        <f>SUBTOTAL(103,Janeiro!$R$9:$R$13)</f>
        <v>0</v>
      </c>
      <c r="S14" s="4">
        <f>SUBTOTAL(103,Janeiro!$S$9:$S$13)</f>
        <v>1</v>
      </c>
      <c r="T14" s="4">
        <f>SUBTOTAL(103,Janeiro!$T$9:$T$13)</f>
        <v>0</v>
      </c>
      <c r="U14" s="4">
        <f>SUBTOTAL(103,Janeiro!$U$9:$U$13)</f>
        <v>1</v>
      </c>
      <c r="V14" s="4">
        <f>SUBTOTAL(103,Janeiro!$V$9:$V$13)</f>
        <v>2</v>
      </c>
      <c r="W14" s="4">
        <f>SUBTOTAL(103,Janeiro!$W$9:$W$13)</f>
        <v>1</v>
      </c>
      <c r="X14" s="4">
        <f>SUBTOTAL(103,Janeiro!$X$9:$X$13)</f>
        <v>0</v>
      </c>
      <c r="Y14" s="4">
        <f>SUBTOTAL(103,Janeiro!$Y$9:$Y$13)</f>
        <v>0</v>
      </c>
      <c r="Z14" s="4">
        <f>SUBTOTAL(103,Janeiro!$Z$9:$Z$13)</f>
        <v>1</v>
      </c>
      <c r="AA14" s="4">
        <f>SUBTOTAL(103,Janeiro!$AA$9:$AA$13)</f>
        <v>1</v>
      </c>
      <c r="AB14" s="4">
        <f>SUBTOTAL(103,Janeiro!$AB$9:$AB$13)</f>
        <v>1</v>
      </c>
      <c r="AC14" s="4">
        <f>SUBTOTAL(103,Janeiro!$AC$9:$AC$13)</f>
        <v>1</v>
      </c>
      <c r="AD14" s="4">
        <f>SUBTOTAL(103,Janeiro!$AD$9:$AD$13)</f>
        <v>0</v>
      </c>
      <c r="AE14" s="4">
        <f>SUBTOTAL(103,Janeiro!$AE$9:$AE$13)</f>
        <v>1</v>
      </c>
      <c r="AF14" s="4">
        <f>SUBTOTAL(103,Janeiro!$AF$9:$AF$13)</f>
        <v>0</v>
      </c>
      <c r="AG14" s="4">
        <f>SUBTOTAL(103,Janeiro!$AG$9:$AG$13)</f>
        <v>1</v>
      </c>
      <c r="AH14" s="4">
        <f>SUBTOTAL(109,Janeiro[Total de dias])</f>
        <v>25</v>
      </c>
    </row>
  </sheetData>
  <mergeCells count="6">
    <mergeCell ref="C6:AG6"/>
    <mergeCell ref="D4:F4"/>
    <mergeCell ref="H4:J4"/>
    <mergeCell ref="L4:O4"/>
    <mergeCell ref="Q4:T4"/>
    <mergeCell ref="V4:Y4"/>
  </mergeCells>
  <phoneticPr fontId="32" type="noConversion"/>
  <conditionalFormatting sqref="C9:AG13">
    <cfRule type="expression" priority="3" stopIfTrue="1">
      <formula>C9=""</formula>
    </cfRule>
    <cfRule type="expression" dxfId="888" priority="8" stopIfTrue="1">
      <formula>C9=ChavePersonalizada2</formula>
    </cfRule>
    <cfRule type="expression" dxfId="887" priority="9" stopIfTrue="1">
      <formula>C9=ChavePersonalizada1</formula>
    </cfRule>
    <cfRule type="expression" dxfId="886" priority="10" stopIfTrue="1">
      <formula>C9=ChaveLicençaMédica</formula>
    </cfRule>
    <cfRule type="expression" dxfId="885" priority="11" stopIfTrue="1">
      <formula>C9=ChavePessoal</formula>
    </cfRule>
    <cfRule type="expression" dxfId="884" priority="12" stopIfTrue="1">
      <formula>C9=ChaveFérias</formula>
    </cfRule>
  </conditionalFormatting>
  <conditionalFormatting sqref="AH9:AH13">
    <cfRule type="dataBar" priority="170">
      <dataBar>
        <cfvo type="num" val="0"/>
        <cfvo type="num" val="31"/>
        <color theme="4"/>
      </dataBar>
      <extLst>
        <ext xmlns:x14="http://schemas.microsoft.com/office/spreadsheetml/2009/9/main" uri="{B025F937-C7B1-47D3-B67F-A62EFF666E3E}">
          <x14:id>{ECCE2C3C-1B01-4700-B60E-DAAAB19A9C1A}</x14:id>
        </ext>
      </extLst>
    </cfRule>
  </conditionalFormatting>
  <dataValidations count="16">
    <dataValidation allowBlank="1" showInputMessage="1" showErrorMessage="1" prompt="Os dias do mês nesta linha são gerados automaticamente. Insira a falta e o tipo de falta de um funcionário em cada coluna de cada dia do mês. Espaço vazio significa sem faltas." sqref="C8" xr:uid="{FAB55708-481E-2E48-9F66-3C8E8545F6B0}"/>
    <dataValidation allowBlank="1" showInputMessage="1" showErrorMessage="1" prompt="A letra &quot;F&quot; indica falta devido a férias." sqref="C4" xr:uid="{9058FE4E-B17F-E943-9A83-5582DE92BDB6}"/>
    <dataValidation allowBlank="1" showInputMessage="1" showErrorMessage="1" prompt="A letra &quot;P&quot; indica falta devido a motivos pessoais." sqref="G4" xr:uid="{C4744D51-42B4-0342-B86A-BE9D6063B807}"/>
    <dataValidation allowBlank="1" showInputMessage="1" showErrorMessage="1" prompt="A letra &quot;L&quot; indica falta devido à licença médica." sqref="K4" xr:uid="{EBA2AA00-2D66-0547-8889-4D34A2A72241}"/>
    <dataValidation allowBlank="1" showInputMessage="1" showErrorMessage="1" prompt="Insira uma letra e personalize o rótulo à direita para adicionar outro item de chave." sqref="P4 U4" xr:uid="{FEABEF84-83D3-7D42-BA7C-926AE09CBA1E}"/>
    <dataValidation allowBlank="1" showInputMessage="1" showErrorMessage="1" prompt="Digite um rótulo para descrever a chave personalizada à esquerda." sqref="V4 Q4" xr:uid="{12884A59-5F75-0848-A6CD-363E691B1D2A}"/>
    <dataValidation allowBlank="1" showInputMessage="1" showErrorMessage="1" prompt="A Agenda de faltas dos funcionários controla as faltas dos funcionários por dias para cada mês. Há 13 planilhas, 12 mensais e a última para os nomes dos funcionários. Acompanhe as faltas de janeiro nesta planilha." sqref="A1" xr:uid="{00000000-0002-0000-0000-00000D000000}"/>
    <dataValidation allowBlank="1" showInputMessage="1" showErrorMessage="1" prompt="Insira o ano na célula abaixo." sqref="AH5" xr:uid="{00000000-0002-0000-0000-00000E000000}"/>
    <dataValidation allowBlank="1" showInputMessage="1" showErrorMessage="1" prompt="O nome do mês para essa agenda de faltas está nesta célula. Os totais de faltas deste mês estão na última célula da tabela. Selecione os nomes dos funcionários na tabela B." sqref="B2" xr:uid="{DF4494D1-42F6-BB47-AFAB-18021A3441AC}"/>
    <dataValidation allowBlank="1" showInputMessage="1" showErrorMessage="1" prompt="O título atualizado automaticamente está nesta célula. Para modificar o título, atualize B1 na planilha Janeiro." sqref="B2" xr:uid="{20FFCBA6-5698-4E4B-9E75-1B2FD678A862}"/>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FE3C1916-A13B-EF44-83B6-EF87C12834B2}"/>
    <dataValidation allowBlank="1" showInputMessage="1" showErrorMessage="1" prompt="Calcula automaticamente o número total de dias que um funcionário esteve ausente neste mês nesta coluna" sqref="AH8" xr:uid="{17D68424-3ED0-774F-A440-37779B4905D7}"/>
    <dataValidation allowBlank="1" showInputMessage="1" showErrorMessage="1" prompt="Insira o ano nesta célula." sqref="AH6" xr:uid="{00000000-0002-0000-0000-000000000000}"/>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F6CAA384-C773-F044-845D-980CB65F95B2}"/>
    <dataValidation allowBlank="1" showInputMessage="1" showErrorMessage="1" prompt="Esta linha define as chaves utilizadas na tabela: a célula C4 é Férias, G4 é Pessoal e K4 é Licença médica. As células N4 e R4 são personalizáveis " sqref="B4" xr:uid="{254C5299-B8DC-4E28-AD10-F93B45AED253}"/>
    <dataValidation allowBlank="1" showInputMessage="1" showErrorMessage="1" prompt="O título desta planilha está nesta célula. " sqref="B1" xr:uid="{F61E6882-FE5C-43CD-B756-4B881652736D}"/>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CCE2C3C-1B01-4700-B60E-DAAAB19A9C1A}">
            <x14:dataBar minLength="0" maxLength="100" gradient="0">
              <x14:cfvo type="num">
                <xm:f>0</xm:f>
              </x14:cfvo>
              <x14:cfvo type="num">
                <xm:f>31</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F000000}">
          <x14:formula1>
            <xm:f>'Nomes dos funcionários'!$B$4:$B$8</xm:f>
          </x14:formula1>
          <xm:sqref>B9:B13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pageSetUpPr fitToPage="1"/>
  </sheetPr>
  <dimension ref="A1:AH14"/>
  <sheetViews>
    <sheetView showGridLines="0" zoomScaleNormal="100" workbookViewId="0"/>
  </sheetViews>
  <sheetFormatPr defaultColWidth="9.140625" defaultRowHeight="30" customHeight="1"/>
  <cols>
    <col min="1" max="1" width="2.7109375" customWidth="1"/>
    <col min="2" max="2" width="29" customWidth="1"/>
    <col min="3" max="33" width="4.7109375" customWidth="1"/>
    <col min="34" max="34" width="15.42578125" customWidth="1"/>
    <col min="35" max="35" width="2.7109375" customWidth="1"/>
  </cols>
  <sheetData>
    <row r="1" spans="1:34" ht="49.9" customHeight="1">
      <c r="B1" s="26" t="s">
        <v>0</v>
      </c>
    </row>
    <row r="2" spans="1:34" s="12" customFormat="1" ht="100.15" customHeight="1">
      <c r="A2"/>
      <c r="B2" s="25" t="s">
        <v>51</v>
      </c>
    </row>
    <row r="3" spans="1: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1: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1: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1: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1:34" ht="30" customHeight="1">
      <c r="B7" s="7"/>
      <c r="C7" s="23" t="str">
        <f>TEXT(WEEKDAY(DATE(AnoCalendário,2,1),1),"ddd")</f>
        <v>qua</v>
      </c>
      <c r="D7" s="23" t="str">
        <f>TEXT(WEEKDAY(DATE(AnoCalendário,2,2),1),"ddd")</f>
        <v>qui</v>
      </c>
      <c r="E7" s="23" t="str">
        <f>TEXT(WEEKDAY(DATE(AnoCalendário,2,3),1),"ddd")</f>
        <v>sex</v>
      </c>
      <c r="F7" s="23" t="str">
        <f>TEXT(WEEKDAY(DATE(AnoCalendário,2,4),1),"ddd")</f>
        <v>sáb</v>
      </c>
      <c r="G7" s="23" t="str">
        <f>TEXT(WEEKDAY(DATE(AnoCalendário,2,5),1),"ddd")</f>
        <v>dom</v>
      </c>
      <c r="H7" s="23" t="str">
        <f>TEXT(WEEKDAY(DATE(AnoCalendário,2,6),1),"ddd")</f>
        <v>seg</v>
      </c>
      <c r="I7" s="23" t="str">
        <f>TEXT(WEEKDAY(DATE(AnoCalendário,2,7),1),"ddd")</f>
        <v>ter</v>
      </c>
      <c r="J7" s="23" t="str">
        <f>TEXT(WEEKDAY(DATE(AnoCalendário,2,8),1),"ddd")</f>
        <v>qua</v>
      </c>
      <c r="K7" s="23" t="str">
        <f>TEXT(WEEKDAY(DATE(AnoCalendário,2,9),1),"ddd")</f>
        <v>qui</v>
      </c>
      <c r="L7" s="23" t="str">
        <f>TEXT(WEEKDAY(DATE(AnoCalendário,2,10),1),"ddd")</f>
        <v>sex</v>
      </c>
      <c r="M7" s="23" t="str">
        <f>TEXT(WEEKDAY(DATE(AnoCalendário,2,11),1),"ddd")</f>
        <v>sáb</v>
      </c>
      <c r="N7" s="23" t="str">
        <f>TEXT(WEEKDAY(DATE(AnoCalendário,2,12),1),"ddd")</f>
        <v>dom</v>
      </c>
      <c r="O7" s="23" t="str">
        <f>TEXT(WEEKDAY(DATE(AnoCalendário,2,13),1),"ddd")</f>
        <v>seg</v>
      </c>
      <c r="P7" s="23" t="str">
        <f>TEXT(WEEKDAY(DATE(AnoCalendário,2,14),1),"ddd")</f>
        <v>ter</v>
      </c>
      <c r="Q7" s="23" t="str">
        <f>TEXT(WEEKDAY(DATE(AnoCalendário,2,15),1),"ddd")</f>
        <v>qua</v>
      </c>
      <c r="R7" s="23" t="str">
        <f>TEXT(WEEKDAY(DATE(AnoCalendário,2,16),1),"ddd")</f>
        <v>qui</v>
      </c>
      <c r="S7" s="23" t="str">
        <f>TEXT(WEEKDAY(DATE(AnoCalendário,2,17),1),"ddd")</f>
        <v>sex</v>
      </c>
      <c r="T7" s="23" t="str">
        <f>TEXT(WEEKDAY(DATE(AnoCalendário,2,18),1),"ddd")</f>
        <v>sáb</v>
      </c>
      <c r="U7" s="23" t="str">
        <f>TEXT(WEEKDAY(DATE(AnoCalendário,2,19),1),"ddd")</f>
        <v>dom</v>
      </c>
      <c r="V7" s="23" t="str">
        <f>TEXT(WEEKDAY(DATE(AnoCalendário,2,20),1),"ddd")</f>
        <v>seg</v>
      </c>
      <c r="W7" s="23" t="str">
        <f>TEXT(WEEKDAY(DATE(AnoCalendário,2,21),1),"ddd")</f>
        <v>ter</v>
      </c>
      <c r="X7" s="23" t="str">
        <f>TEXT(WEEKDAY(DATE(AnoCalendário,2,22),1),"ddd")</f>
        <v>qua</v>
      </c>
      <c r="Y7" s="23" t="str">
        <f>TEXT(WEEKDAY(DATE(AnoCalendário,2,23),1),"ddd")</f>
        <v>qui</v>
      </c>
      <c r="Z7" s="23" t="str">
        <f>TEXT(WEEKDAY(DATE(AnoCalendário,2,24),1),"ddd")</f>
        <v>sex</v>
      </c>
      <c r="AA7" s="23" t="str">
        <f>TEXT(WEEKDAY(DATE(AnoCalendário,2,25),1),"ddd")</f>
        <v>sáb</v>
      </c>
      <c r="AB7" s="23" t="str">
        <f>TEXT(WEEKDAY(DATE(AnoCalendário,2,26),1),"ddd")</f>
        <v>dom</v>
      </c>
      <c r="AC7" s="23" t="str">
        <f>TEXT(WEEKDAY(DATE(AnoCalendário,2,27),1),"ddd")</f>
        <v>seg</v>
      </c>
      <c r="AD7" s="23" t="str">
        <f>TEXT(WEEKDAY(DATE(AnoCalendário,2,28),1),"ddd")</f>
        <v>ter</v>
      </c>
      <c r="AE7" s="23" t="str">
        <f>TEXT(WEEKDAY(DATE(AnoCalendário,2,29),1),"ddd")</f>
        <v>qua</v>
      </c>
      <c r="AF7" s="23"/>
      <c r="AG7" s="23"/>
      <c r="AH7" s="7"/>
    </row>
    <row r="8" spans="1: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52</v>
      </c>
      <c r="AG8" s="1" t="s">
        <v>53</v>
      </c>
      <c r="AH8" s="24" t="s">
        <v>44</v>
      </c>
    </row>
    <row r="9" spans="1:34" ht="30" customHeight="1">
      <c r="B9" s="2" t="s">
        <v>45</v>
      </c>
      <c r="C9" s="21"/>
      <c r="D9" s="21"/>
      <c r="E9" s="21" t="s">
        <v>3</v>
      </c>
      <c r="F9" s="21" t="s">
        <v>3</v>
      </c>
      <c r="G9" s="21" t="s">
        <v>3</v>
      </c>
      <c r="H9" s="21" t="s">
        <v>3</v>
      </c>
      <c r="I9" s="21"/>
      <c r="J9" s="21"/>
      <c r="K9" s="21"/>
      <c r="L9" s="21"/>
      <c r="M9" s="21"/>
      <c r="N9" s="21"/>
      <c r="O9" s="21" t="s">
        <v>3</v>
      </c>
      <c r="P9" s="21"/>
      <c r="Q9" s="21"/>
      <c r="R9" s="21"/>
      <c r="S9" s="21"/>
      <c r="T9" s="21"/>
      <c r="U9" s="21"/>
      <c r="V9" s="21"/>
      <c r="W9" s="21"/>
      <c r="X9" s="21"/>
      <c r="Y9" s="21"/>
      <c r="Z9" s="21"/>
      <c r="AA9" s="21"/>
      <c r="AB9" s="21"/>
      <c r="AC9" s="21"/>
      <c r="AD9" s="21"/>
      <c r="AE9" s="21"/>
      <c r="AF9" s="21"/>
      <c r="AG9" s="21"/>
      <c r="AH9" s="3">
        <f>COUNTA(Fevereiro[[#This Row],[1]:[29]])</f>
        <v>5</v>
      </c>
    </row>
    <row r="10" spans="1:34" ht="30" customHeight="1">
      <c r="B10" s="2" t="s">
        <v>46</v>
      </c>
      <c r="C10" s="21"/>
      <c r="D10" s="21"/>
      <c r="E10" s="21"/>
      <c r="F10" s="21"/>
      <c r="G10" s="21" t="s">
        <v>7</v>
      </c>
      <c r="H10" s="21" t="s">
        <v>7</v>
      </c>
      <c r="I10" s="21"/>
      <c r="J10" s="21"/>
      <c r="K10" s="21"/>
      <c r="L10" s="21"/>
      <c r="M10" s="21" t="s">
        <v>5</v>
      </c>
      <c r="N10" s="21"/>
      <c r="O10" s="21"/>
      <c r="P10" s="21"/>
      <c r="Q10" s="21"/>
      <c r="R10" s="21"/>
      <c r="S10" s="21"/>
      <c r="T10" s="21"/>
      <c r="U10" s="21"/>
      <c r="V10" s="21" t="s">
        <v>7</v>
      </c>
      <c r="W10" s="21"/>
      <c r="X10" s="21"/>
      <c r="Y10" s="21"/>
      <c r="Z10" s="21"/>
      <c r="AA10" s="21" t="s">
        <v>3</v>
      </c>
      <c r="AB10" s="21" t="s">
        <v>3</v>
      </c>
      <c r="AC10" s="21" t="s">
        <v>3</v>
      </c>
      <c r="AD10" s="21"/>
      <c r="AE10" s="21"/>
      <c r="AF10" s="21"/>
      <c r="AG10" s="21"/>
      <c r="AH10" s="3">
        <f>COUNTA(Fevereiro[[#This Row],[1]:[29]])</f>
        <v>7</v>
      </c>
    </row>
    <row r="11" spans="1:34" ht="30" customHeight="1">
      <c r="B11" s="2" t="s">
        <v>47</v>
      </c>
      <c r="C11" s="21"/>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3">
        <f>COUNTA(Fevereiro[[#This Row],[1]:[29]])</f>
        <v>0</v>
      </c>
    </row>
    <row r="12" spans="1:34" ht="30" customHeight="1">
      <c r="B12" s="2" t="s">
        <v>48</v>
      </c>
      <c r="C12" s="21"/>
      <c r="D12" s="21"/>
      <c r="E12" s="21" t="s">
        <v>7</v>
      </c>
      <c r="F12" s="21"/>
      <c r="G12" s="21"/>
      <c r="H12" s="21"/>
      <c r="I12" s="21"/>
      <c r="J12" s="21"/>
      <c r="K12" s="21"/>
      <c r="L12" s="21"/>
      <c r="M12" s="21"/>
      <c r="N12" s="21"/>
      <c r="O12" s="21"/>
      <c r="P12" s="21" t="s">
        <v>7</v>
      </c>
      <c r="Q12" s="21"/>
      <c r="R12" s="21"/>
      <c r="S12" s="21"/>
      <c r="T12" s="21" t="s">
        <v>5</v>
      </c>
      <c r="U12" s="21"/>
      <c r="V12" s="21"/>
      <c r="W12" s="21"/>
      <c r="X12" s="21"/>
      <c r="Y12" s="21"/>
      <c r="Z12" s="21"/>
      <c r="AA12" s="21"/>
      <c r="AB12" s="21"/>
      <c r="AC12" s="21"/>
      <c r="AD12" s="21" t="s">
        <v>7</v>
      </c>
      <c r="AE12" s="21"/>
      <c r="AF12" s="21"/>
      <c r="AG12" s="21"/>
      <c r="AH12" s="3">
        <f>COUNTA(Fevereiro[[#This Row],[1]:[29]])</f>
        <v>4</v>
      </c>
    </row>
    <row r="13" spans="1:34" ht="30" customHeight="1">
      <c r="B13" s="2" t="s">
        <v>49</v>
      </c>
      <c r="C13" s="21"/>
      <c r="D13" s="21"/>
      <c r="E13" s="21"/>
      <c r="F13" s="21"/>
      <c r="G13" s="21"/>
      <c r="H13" s="21"/>
      <c r="I13" s="21"/>
      <c r="J13" s="21" t="s">
        <v>3</v>
      </c>
      <c r="K13" s="21" t="s">
        <v>3</v>
      </c>
      <c r="L13" s="21" t="s">
        <v>3</v>
      </c>
      <c r="M13" s="21" t="s">
        <v>3</v>
      </c>
      <c r="N13" s="21"/>
      <c r="O13" s="21"/>
      <c r="P13" s="21"/>
      <c r="Q13" s="21"/>
      <c r="R13" s="21"/>
      <c r="S13" s="21"/>
      <c r="T13" s="21"/>
      <c r="U13" s="21"/>
      <c r="V13" s="21"/>
      <c r="W13" s="21"/>
      <c r="X13" s="21"/>
      <c r="Y13" s="21"/>
      <c r="Z13" s="21" t="s">
        <v>7</v>
      </c>
      <c r="AA13" s="21"/>
      <c r="AB13" s="21"/>
      <c r="AC13" s="21"/>
      <c r="AD13" s="21"/>
      <c r="AE13" s="21"/>
      <c r="AF13" s="21"/>
      <c r="AG13" s="21"/>
      <c r="AH13" s="3">
        <f>COUNTA(Fevereiro[[#This Row],[1]:[29]])</f>
        <v>5</v>
      </c>
    </row>
    <row r="14" spans="1:34" ht="30" customHeight="1">
      <c r="B14" s="5" t="str">
        <f>NomeMês&amp;" total"</f>
        <v>Fevereiro total</v>
      </c>
      <c r="C14" s="4">
        <f>SUBTOTAL(103,Fevereiro[1])</f>
        <v>0</v>
      </c>
      <c r="D14" s="4">
        <f>SUBTOTAL(103,Fevereiro[2])</f>
        <v>0</v>
      </c>
      <c r="E14" s="4">
        <f>SUBTOTAL(103,Fevereiro[3])</f>
        <v>2</v>
      </c>
      <c r="F14" s="4">
        <f>SUBTOTAL(103,Fevereiro[4])</f>
        <v>1</v>
      </c>
      <c r="G14" s="4">
        <f>SUBTOTAL(103,Fevereiro[5])</f>
        <v>2</v>
      </c>
      <c r="H14" s="4">
        <f>SUBTOTAL(103,Fevereiro[6])</f>
        <v>2</v>
      </c>
      <c r="I14" s="4">
        <f>SUBTOTAL(103,Fevereiro[7])</f>
        <v>0</v>
      </c>
      <c r="J14" s="4">
        <f>SUBTOTAL(103,Fevereiro[8])</f>
        <v>1</v>
      </c>
      <c r="K14" s="4">
        <f>SUBTOTAL(103,Fevereiro[9])</f>
        <v>1</v>
      </c>
      <c r="L14" s="4">
        <f>SUBTOTAL(103,Fevereiro[10])</f>
        <v>1</v>
      </c>
      <c r="M14" s="4">
        <f>SUBTOTAL(103,Fevereiro[11])</f>
        <v>2</v>
      </c>
      <c r="N14" s="4">
        <f>SUBTOTAL(103,Fevereiro[12])</f>
        <v>0</v>
      </c>
      <c r="O14" s="4">
        <f>SUBTOTAL(103,Fevereiro[13])</f>
        <v>1</v>
      </c>
      <c r="P14" s="4">
        <f>SUBTOTAL(103,Fevereiro[14])</f>
        <v>1</v>
      </c>
      <c r="Q14" s="4">
        <f>SUBTOTAL(103,Fevereiro[15])</f>
        <v>0</v>
      </c>
      <c r="R14" s="4">
        <f>SUBTOTAL(103,Fevereiro[16])</f>
        <v>0</v>
      </c>
      <c r="S14" s="4">
        <f>SUBTOTAL(103,Fevereiro[17])</f>
        <v>0</v>
      </c>
      <c r="T14" s="4">
        <f>SUBTOTAL(103,Fevereiro[18])</f>
        <v>1</v>
      </c>
      <c r="U14" s="4">
        <f>SUBTOTAL(103,Fevereiro[19])</f>
        <v>0</v>
      </c>
      <c r="V14" s="4">
        <f>SUBTOTAL(103,Fevereiro[20])</f>
        <v>1</v>
      </c>
      <c r="W14" s="4">
        <f>SUBTOTAL(103,Fevereiro[21])</f>
        <v>0</v>
      </c>
      <c r="X14" s="4">
        <f>SUBTOTAL(103,Fevereiro[22])</f>
        <v>0</v>
      </c>
      <c r="Y14" s="4">
        <f>SUBTOTAL(103,Fevereiro[23])</f>
        <v>0</v>
      </c>
      <c r="Z14" s="4">
        <f>SUBTOTAL(103,Fevereiro[24])</f>
        <v>1</v>
      </c>
      <c r="AA14" s="4">
        <f>SUBTOTAL(103,Fevereiro[25])</f>
        <v>1</v>
      </c>
      <c r="AB14" s="4">
        <f>SUBTOTAL(103,Fevereiro[26])</f>
        <v>1</v>
      </c>
      <c r="AC14" s="4">
        <f>SUBTOTAL(103,Fevereiro[27])</f>
        <v>1</v>
      </c>
      <c r="AD14" s="4">
        <f>SUBTOTAL(103,Fevereiro[28])</f>
        <v>1</v>
      </c>
      <c r="AE14" s="4">
        <f>SUBTOTAL(103,Fevereiro[29])</f>
        <v>0</v>
      </c>
      <c r="AF14" s="4"/>
      <c r="AG14" s="4"/>
      <c r="AH14" s="4">
        <f>SUBTOTAL(109,Fevereiro[Total de dias])</f>
        <v>21</v>
      </c>
    </row>
  </sheetData>
  <mergeCells count="6">
    <mergeCell ref="C6:AG6"/>
    <mergeCell ref="D4:F4"/>
    <mergeCell ref="H4:J4"/>
    <mergeCell ref="L4:O4"/>
    <mergeCell ref="Q4:T4"/>
    <mergeCell ref="V4:Y4"/>
  </mergeCells>
  <phoneticPr fontId="32" type="noConversion"/>
  <conditionalFormatting sqref="C9:AG13">
    <cfRule type="expression" priority="3" stopIfTrue="1">
      <formula>C9=""</formula>
    </cfRule>
    <cfRule type="expression" dxfId="815" priority="4" stopIfTrue="1">
      <formula>C9=ChavePersonalizada2</formula>
    </cfRule>
    <cfRule type="expression" dxfId="814" priority="6" stopIfTrue="1">
      <formula>C9=ChavePersonalizada1</formula>
    </cfRule>
    <cfRule type="expression" dxfId="813" priority="7" stopIfTrue="1">
      <formula>C9=ChaveLicençaMédica</formula>
    </cfRule>
    <cfRule type="expression" dxfId="812" priority="8" stopIfTrue="1">
      <formula>C9=ChavePessoal</formula>
    </cfRule>
    <cfRule type="expression" dxfId="811" priority="9" stopIfTrue="1">
      <formula>C9=ChaveFérias</formula>
    </cfRule>
  </conditionalFormatting>
  <conditionalFormatting sqref="AE7">
    <cfRule type="expression" dxfId="810" priority="1">
      <formula>MONTH(DATE(AnoCalendário,2,29))&lt;&gt;2</formula>
    </cfRule>
  </conditionalFormatting>
  <conditionalFormatting sqref="AE8">
    <cfRule type="expression" dxfId="809" priority="17">
      <formula>MONTH(DATE(AnoCalendário,2,29))&lt;&gt;2</formula>
    </cfRule>
  </conditionalFormatting>
  <conditionalFormatting sqref="AH9:AH13">
    <cfRule type="dataBar" priority="154">
      <dataBar>
        <cfvo type="min"/>
        <cfvo type="formula" val="DATEDIF(DATE(AnoCalendário,2,1),DATE(AnoCalendário,3,1),&quot;d&quot;)"/>
        <color theme="4"/>
      </dataBar>
      <extLst>
        <ext xmlns:x14="http://schemas.microsoft.com/office/spreadsheetml/2009/9/main" uri="{B025F937-C7B1-47D3-B67F-A62EFF666E3E}">
          <x14:id>{94738C71-AB78-40C3-A818-D083AE35CC38}</x14:id>
        </ext>
      </extLst>
    </cfRule>
  </conditionalFormatting>
  <dataValidations xWindow="232" yWindow="365" count="15">
    <dataValidation allowBlank="1" showInputMessage="1" showErrorMessage="1" prompt="Ano atualizado automaticamente com base no ano inserido na planilha de janeiro." sqref="AH6" xr:uid="{00000000-0002-0000-0100-000000000000}"/>
    <dataValidation allowBlank="1" showInputMessage="1" showErrorMessage="1" prompt="Acompanhe as faltas de fevereiro nesta planilha." sqref="A1" xr:uid="{00000000-0002-0000-0100-000001000000}"/>
    <dataValidation allowBlank="1" showInputMessage="1" showErrorMessage="1" prompt="Calcula automaticamente o número total de dias em que um funcionário esteve ausente deste mês nesta coluna." sqref="AH8" xr:uid="{77246999-1DD3-7143-AA66-1A208D7E07C6}"/>
    <dataValidation allowBlank="1" showInputMessage="1" showErrorMessage="1" prompt="O título atualizado automaticamente está nesta célula. Para modificar o título, atualize B1 na planilha Janeiro." sqref="B2" xr:uid="{00000000-0002-0000-0100-000003000000}"/>
    <dataValidation allowBlank="1" showInputMessage="1" showErrorMessage="1" prompt="O nome do mês para essa agenda de faltas está nesta célula. Os totais de faltas deste mês estão na última célula da tabela. Selecione os nomes dos funcionários na tabela B." sqref="B2" xr:uid="{00000000-0002-0000-0100-000004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63261372-7DCA-F84F-9EF6-13D18C8D58CC}"/>
    <dataValidation allowBlank="1" showInputMessage="1" showErrorMessage="1" prompt="Insira um rótulo para descrever a chave personalizada à esquerda." sqref="V4 Q4" xr:uid="{00000000-0002-0000-0100-000007000000}"/>
    <dataValidation allowBlank="1" showInputMessage="1" showErrorMessage="1" prompt="Insira uma letra e personalize o rótulo à direita para adicionar outro item de chave." sqref="P4 U4" xr:uid="{00000000-0002-0000-0100-000008000000}"/>
    <dataValidation allowBlank="1" showInputMessage="1" showErrorMessage="1" prompt="A letra &quot;L&quot; indica falta devido à licença médica." sqref="K4" xr:uid="{00000000-0002-0000-0100-000009000000}"/>
    <dataValidation allowBlank="1" showInputMessage="1" showErrorMessage="1" prompt="A letra &quot;P&quot; indica falta devido a motivos pessoais." sqref="G4" xr:uid="{00000000-0002-0000-0100-00000A000000}"/>
    <dataValidation allowBlank="1" showInputMessage="1" showErrorMessage="1" prompt="A letra &quot;F&quot; indica falta devido a férias." sqref="C4" xr:uid="{00000000-0002-0000-0100-00000B000000}"/>
    <dataValidation allowBlank="1" showInputMessage="1" showErrorMessage="1" prompt="Os dias do mês nesta linha são gerados automaticamente. Insira a falta e o tipo de falta de um funcionário em cada coluna de cada dia do mês. Espaço vazio significa sem faltas." sqref="C8" xr:uid="{00000000-0002-0000-0100-00000D000000}"/>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525721C9-B345-0C4C-8302-350AF692807F}"/>
    <dataValidation allowBlank="1" showInputMessage="1" showErrorMessage="1" prompt="Esta linha define as chaves utilizadas na tabela: a célula C4 é Férias, G4 é Pessoal e K4 é Licença médica. As células N4 e R4 são personalizáveis " sqref="B4" xr:uid="{7C2F778E-AA90-4389-BE25-016652C40577}"/>
    <dataValidation allowBlank="1" showInputMessage="1" showErrorMessage="1" prompt="O título desta planilha está nesta célula. " sqref="B1" xr:uid="{3720AAC7-6CB9-46B3-ABB5-C56FB01AC59F}"/>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94738C71-AB78-40C3-A818-D083AE35CC38}">
            <x14:dataBar minLength="0" maxLength="100" gradient="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xWindow="232" yWindow="365" count="1">
        <x14:dataValidation type="list" allowBlank="1" showInputMessage="1" showErrorMessage="1" xr:uid="{00000000-0002-0000-0100-00000E000000}">
          <x14:formula1>
            <xm:f>'Nomes dos funcionários'!$B$4:$B$8</xm:f>
          </x14:formula1>
          <xm:sqref>B9:B13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499984740745262"/>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27" t="s">
        <v>54</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TEXT(WEEKDAY(DATE(AnoCalendário,3,1),1),"ddd")</f>
        <v>qua</v>
      </c>
      <c r="D7" s="23" t="str">
        <f>TEXT(WEEKDAY(DATE(AnoCalendário,3,2),1),"ddd")</f>
        <v>qui</v>
      </c>
      <c r="E7" s="23" t="str">
        <f>TEXT(WEEKDAY(DATE(AnoCalendário,3,3),1),"ddd")</f>
        <v>sex</v>
      </c>
      <c r="F7" s="23" t="str">
        <f>TEXT(WEEKDAY(DATE(AnoCalendário,3,4),1),"ddd")</f>
        <v>sáb</v>
      </c>
      <c r="G7" s="23" t="str">
        <f>TEXT(WEEKDAY(DATE(AnoCalendário,3,5),1),"ddd")</f>
        <v>dom</v>
      </c>
      <c r="H7" s="23" t="str">
        <f>TEXT(WEEKDAY(DATE(AnoCalendário,3,6),1),"ddd")</f>
        <v>seg</v>
      </c>
      <c r="I7" s="23" t="str">
        <f>TEXT(WEEKDAY(DATE(AnoCalendário,3,7),1),"ddd")</f>
        <v>ter</v>
      </c>
      <c r="J7" s="23" t="str">
        <f>TEXT(WEEKDAY(DATE(AnoCalendário,3,8),1),"ddd")</f>
        <v>qua</v>
      </c>
      <c r="K7" s="23" t="str">
        <f>TEXT(WEEKDAY(DATE(AnoCalendário,3,9),1),"ddd")</f>
        <v>qui</v>
      </c>
      <c r="L7" s="23" t="str">
        <f>TEXT(WEEKDAY(DATE(AnoCalendário,3,10),1),"ddd")</f>
        <v>sex</v>
      </c>
      <c r="M7" s="23" t="str">
        <f>TEXT(WEEKDAY(DATE(AnoCalendário,3,11),1),"ddd")</f>
        <v>sáb</v>
      </c>
      <c r="N7" s="23" t="str">
        <f>TEXT(WEEKDAY(DATE(AnoCalendário,3,12),1),"ddd")</f>
        <v>dom</v>
      </c>
      <c r="O7" s="23" t="str">
        <f>TEXT(WEEKDAY(DATE(AnoCalendário,3,13),1),"ddd")</f>
        <v>seg</v>
      </c>
      <c r="P7" s="23" t="str">
        <f>TEXT(WEEKDAY(DATE(AnoCalendário,3,14),1),"ddd")</f>
        <v>ter</v>
      </c>
      <c r="Q7" s="23" t="str">
        <f>TEXT(WEEKDAY(DATE(AnoCalendário,3,15),1),"ddd")</f>
        <v>qua</v>
      </c>
      <c r="R7" s="23" t="str">
        <f>TEXT(WEEKDAY(DATE(AnoCalendário,3,16),1),"ddd")</f>
        <v>qui</v>
      </c>
      <c r="S7" s="23" t="str">
        <f>TEXT(WEEKDAY(DATE(AnoCalendário,3,17),1),"ddd")</f>
        <v>sex</v>
      </c>
      <c r="T7" s="23" t="str">
        <f>TEXT(WEEKDAY(DATE(AnoCalendário,3,18),1),"ddd")</f>
        <v>sáb</v>
      </c>
      <c r="U7" s="23" t="str">
        <f>TEXT(WEEKDAY(DATE(AnoCalendário,3,19),1),"ddd")</f>
        <v>dom</v>
      </c>
      <c r="V7" s="23" t="str">
        <f>TEXT(WEEKDAY(DATE(AnoCalendário,3,20),1),"ddd")</f>
        <v>seg</v>
      </c>
      <c r="W7" s="23" t="str">
        <f>TEXT(WEEKDAY(DATE(AnoCalendário,3,21),1),"ddd")</f>
        <v>ter</v>
      </c>
      <c r="X7" s="23" t="str">
        <f>TEXT(WEEKDAY(DATE(AnoCalendário,3,22),1),"ddd")</f>
        <v>qua</v>
      </c>
      <c r="Y7" s="23" t="str">
        <f>TEXT(WEEKDAY(DATE(AnoCalendário,3,23),1),"ddd")</f>
        <v>qui</v>
      </c>
      <c r="Z7" s="23" t="str">
        <f>TEXT(WEEKDAY(DATE(AnoCalendário,3,24),1),"ddd")</f>
        <v>sex</v>
      </c>
      <c r="AA7" s="23" t="str">
        <f>TEXT(WEEKDAY(DATE(AnoCalendário,3,25),1),"ddd")</f>
        <v>sáb</v>
      </c>
      <c r="AB7" s="23" t="str">
        <f>TEXT(WEEKDAY(DATE(AnoCalendário,3,26),1),"ddd")</f>
        <v>dom</v>
      </c>
      <c r="AC7" s="23" t="str">
        <f>TEXT(WEEKDAY(DATE(AnoCalendário,3,27),1),"ddd")</f>
        <v>seg</v>
      </c>
      <c r="AD7" s="23" t="str">
        <f>TEXT(WEEKDAY(DATE(AnoCalendário,3,28),1),"ddd")</f>
        <v>ter</v>
      </c>
      <c r="AE7" s="23" t="str">
        <f>TEXT(WEEKDAY(DATE(AnoCalendário,3,29),1),"ddd")</f>
        <v>qua</v>
      </c>
      <c r="AF7" s="23" t="str">
        <f>TEXT(WEEKDAY(DATE(AnoCalendário,3,30),1),"ddd")</f>
        <v>qui</v>
      </c>
      <c r="AG7" s="23" t="str">
        <f>TEXT(WEEKDAY(DATE(AnoCalendário,3,31),1),"ddd")</f>
        <v>sex</v>
      </c>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COUNTA(Março[[#This Row],[1]:[31]])</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COUNTA(Março[[#This Row],[1]:[31]])</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COUNTA(Março[[#This Row],[1]:[31]])</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COUNTA(Março[[#This Row],[1]:[31]])</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COUNTA(Março[[#This Row],[1]:[31]])</f>
        <v>0</v>
      </c>
    </row>
    <row r="14" spans="2:34" ht="30" customHeight="1">
      <c r="B14" s="5" t="str">
        <f>NomeMês&amp;" Total"</f>
        <v>Março Total</v>
      </c>
      <c r="C14" s="4">
        <f>SUBTOTAL(103,Março[1])</f>
        <v>0</v>
      </c>
      <c r="D14" s="4">
        <f>SUBTOTAL(103,Março[2])</f>
        <v>0</v>
      </c>
      <c r="E14" s="4">
        <f>SUBTOTAL(103,Março[3])</f>
        <v>0</v>
      </c>
      <c r="F14" s="4">
        <f>SUBTOTAL(103,Março[4])</f>
        <v>0</v>
      </c>
      <c r="G14" s="4">
        <f>SUBTOTAL(103,Março[5])</f>
        <v>0</v>
      </c>
      <c r="H14" s="4">
        <f>SUBTOTAL(103,Março[6])</f>
        <v>0</v>
      </c>
      <c r="I14" s="4">
        <f>SUBTOTAL(103,Março[7])</f>
        <v>0</v>
      </c>
      <c r="J14" s="4">
        <f>SUBTOTAL(103,Março[8])</f>
        <v>0</v>
      </c>
      <c r="K14" s="4">
        <f>SUBTOTAL(103,Março[9])</f>
        <v>0</v>
      </c>
      <c r="L14" s="4">
        <f>SUBTOTAL(103,Março[10])</f>
        <v>0</v>
      </c>
      <c r="M14" s="4">
        <f>SUBTOTAL(103,Março[11])</f>
        <v>0</v>
      </c>
      <c r="N14" s="4">
        <f>SUBTOTAL(103,Março[12])</f>
        <v>0</v>
      </c>
      <c r="O14" s="4">
        <f>SUBTOTAL(103,Março[13])</f>
        <v>0</v>
      </c>
      <c r="P14" s="4">
        <f>SUBTOTAL(103,Março[14])</f>
        <v>0</v>
      </c>
      <c r="Q14" s="4">
        <f>SUBTOTAL(103,Março[15])</f>
        <v>0</v>
      </c>
      <c r="R14" s="4">
        <f>SUBTOTAL(103,Março[16])</f>
        <v>0</v>
      </c>
      <c r="S14" s="4">
        <f>SUBTOTAL(103,Março[17])</f>
        <v>0</v>
      </c>
      <c r="T14" s="4">
        <f>SUBTOTAL(103,Março[18])</f>
        <v>0</v>
      </c>
      <c r="U14" s="4">
        <f>SUBTOTAL(103,Março[19])</f>
        <v>0</v>
      </c>
      <c r="V14" s="4">
        <f>SUBTOTAL(103,Março[20])</f>
        <v>0</v>
      </c>
      <c r="W14" s="4">
        <f>SUBTOTAL(103,Março[21])</f>
        <v>0</v>
      </c>
      <c r="X14" s="4">
        <f>SUBTOTAL(103,Março[22])</f>
        <v>0</v>
      </c>
      <c r="Y14" s="4">
        <f>SUBTOTAL(103,Março[23])</f>
        <v>0</v>
      </c>
      <c r="Z14" s="4">
        <f>SUBTOTAL(103,Março[24])</f>
        <v>0</v>
      </c>
      <c r="AA14" s="4">
        <f>SUBTOTAL(103,Março[25])</f>
        <v>0</v>
      </c>
      <c r="AB14" s="4">
        <f>SUBTOTAL(103,Março[26])</f>
        <v>0</v>
      </c>
      <c r="AC14" s="4">
        <f>SUBTOTAL(103,Março[27])</f>
        <v>0</v>
      </c>
      <c r="AD14" s="4">
        <f>SUBTOTAL(103,Março[28])</f>
        <v>0</v>
      </c>
      <c r="AE14" s="4">
        <f>SUBTOTAL(103,Março[29])</f>
        <v>0</v>
      </c>
      <c r="AF14" s="4">
        <f>SUBTOTAL(109,Março[30])</f>
        <v>0</v>
      </c>
      <c r="AG14" s="4">
        <f>SUBTOTAL(109,Março[31])</f>
        <v>0</v>
      </c>
      <c r="AH14" s="4">
        <f>SUBTOTAL(109,Março[Total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739" priority="2" stopIfTrue="1">
      <formula>C9=ChavePersonalizada2</formula>
    </cfRule>
    <cfRule type="expression" dxfId="738" priority="3" stopIfTrue="1">
      <formula>C9=ChavePersonalizada1</formula>
    </cfRule>
    <cfRule type="expression" dxfId="737" priority="4" stopIfTrue="1">
      <formula>C9=ChaveLicençaMédica</formula>
    </cfRule>
    <cfRule type="expression" dxfId="736" priority="5" stopIfTrue="1">
      <formula>C9=ChavePessoal</formula>
    </cfRule>
    <cfRule type="expression" dxfId="735"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{7C2B6C3E-666E-4369-8C57-FD32A7D03A3C}</x14:id>
        </ext>
      </extLst>
    </cfRule>
  </conditionalFormatting>
  <dataValidations count="15">
    <dataValidation allowBlank="1" showInputMessage="1" showErrorMessage="1" prompt="Os dias do mês nesta linha são gerados automaticamente. Insira a falta e o tipo de falta de um funcionário em cada coluna de cada dia do mês. Espaço vazio significa sem faltas." sqref="C8" xr:uid="{00000000-0002-0000-0200-000000000000}"/>
    <dataValidation allowBlank="1" showInputMessage="1" showErrorMessage="1" prompt="Insira um rótulo para descrever a chave personalizada à esquerda." sqref="V4 Q4" xr:uid="{E366FBFA-347E-8543-BF03-F13C8B9DCA49}"/>
    <dataValidation allowBlank="1" showInputMessage="1" showErrorMessage="1" prompt="Insira uma letra e personalize o rótulo à direita para adicionar outro item de chave." sqref="P4 U4" xr:uid="{8C7F6C70-699C-2D4E-95B7-BEEF00444CC1}"/>
    <dataValidation allowBlank="1" showInputMessage="1" showErrorMessage="1" prompt="A letra &quot;L&quot; indica falta devido à licença médica." sqref="K4" xr:uid="{299D83F3-6B77-0849-9674-CBC3EF3148C0}"/>
    <dataValidation allowBlank="1" showInputMessage="1" showErrorMessage="1" prompt="A letra &quot;P&quot; indica falta devido a motivos pessoais." sqref="G4" xr:uid="{D96709FA-C89E-174E-BD1B-910451DEBE05}"/>
    <dataValidation allowBlank="1" showInputMessage="1" showErrorMessage="1" prompt="A letra &quot;F&quot; indica falta devido a férias." sqref="C4" xr:uid="{29AC19CC-7211-AC4C-934C-F8A72FBB8569}"/>
    <dataValidation allowBlank="1" showInputMessage="1" showErrorMessage="1" prompt="O título atualizado automaticamente está nesta célula. Para modificar o título, atualize B1 na planilha Janeiro." sqref="B2" xr:uid="{00000000-0002-0000-0200-000009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E46101B5-4A18-414B-9169-B2F7AB28F054}"/>
    <dataValidation allowBlank="1" showInputMessage="1" showErrorMessage="1" prompt="Acompanhe as faltas de março nesta planilha." sqref="A1" xr:uid="{00000000-0002-0000-0200-00000B000000}"/>
    <dataValidation allowBlank="1" showInputMessage="1" showErrorMessage="1" prompt="Calcula automaticamente o número total de dias em que um funcionário esteve ausente deste mês nesta coluna." sqref="AH8" xr:uid="{70BD9EEE-E1FD-D147-919D-901970D7AADE}"/>
    <dataValidation allowBlank="1" showInputMessage="1" showErrorMessage="1" prompt="Ano atualizado automaticamente com base no ano inserido na planilha de janeiro." sqref="AH6" xr:uid="{A06F72EE-346E-CD4A-B706-B1500A526D8A}"/>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02C7B989-E77F-4A4F-82FD-F03860560B2B}"/>
    <dataValidation allowBlank="1" showInputMessage="1" showErrorMessage="1" prompt="O nome do mês para essa agenda de faltas está nesta célula. Os totais de faltas deste mês estão na última célula da tabela. Selecione os nomes dos funcionários na tabela B." sqref="B2" xr:uid="{00000000-0002-0000-0200-000002000000}"/>
    <dataValidation allowBlank="1" showInputMessage="1" showErrorMessage="1" prompt="Esta linha define as chaves utilizadas na tabela: a célula C4 é Férias, G4 é Pessoal e K4 é Licença médica. As células N4 e R4 são personalizáveis " sqref="B4" xr:uid="{9A98B74B-4764-403E-92AD-9C10299A10A6}"/>
    <dataValidation allowBlank="1" showInputMessage="1" showErrorMessage="1" prompt="O título desta planilha está nesta célula. " sqref="B1" xr:uid="{40DFEC58-0648-4944-BD5A-E9153E7FE7CF}"/>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7C2B6C3E-666E-4369-8C57-FD32A7D03A3C}">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E000000}">
          <x14:formula1>
            <xm:f>'Nomes dos funcionários'!$B$4:$B$8</xm:f>
          </x14:formula1>
          <xm:sqref>B9:B13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499984740745262"/>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28" t="s">
        <v>55</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TEXT(WEEKDAY(DATE(AnoCalendário,4,1),1),"ddd")</f>
        <v>sáb</v>
      </c>
      <c r="D7" s="23" t="str">
        <f>TEXT(WEEKDAY(DATE(AnoCalendário,4,2),1),"ddd")</f>
        <v>dom</v>
      </c>
      <c r="E7" s="23" t="str">
        <f>TEXT(WEEKDAY(DATE(AnoCalendário,4,3),1),"ddd")</f>
        <v>seg</v>
      </c>
      <c r="F7" s="23" t="str">
        <f>TEXT(WEEKDAY(DATE(AnoCalendário,4,4),1),"ddd")</f>
        <v>ter</v>
      </c>
      <c r="G7" s="23" t="str">
        <f>TEXT(WEEKDAY(DATE(AnoCalendário,4,5),1),"ddd")</f>
        <v>qua</v>
      </c>
      <c r="H7" s="23" t="str">
        <f>TEXT(WEEKDAY(DATE(AnoCalendário,4,6),1),"ddd")</f>
        <v>qui</v>
      </c>
      <c r="I7" s="23" t="str">
        <f>TEXT(WEEKDAY(DATE(AnoCalendário,4,7),1),"ddd")</f>
        <v>sex</v>
      </c>
      <c r="J7" s="23" t="str">
        <f>TEXT(WEEKDAY(DATE(AnoCalendário,4,8),1),"ddd")</f>
        <v>sáb</v>
      </c>
      <c r="K7" s="23" t="str">
        <f>TEXT(WEEKDAY(DATE(AnoCalendário,4,9),1),"ddd")</f>
        <v>dom</v>
      </c>
      <c r="L7" s="23" t="str">
        <f>TEXT(WEEKDAY(DATE(AnoCalendário,4,10),1),"ddd")</f>
        <v>seg</v>
      </c>
      <c r="M7" s="23" t="str">
        <f>TEXT(WEEKDAY(DATE(AnoCalendário,4,11),1),"ddd")</f>
        <v>ter</v>
      </c>
      <c r="N7" s="23" t="str">
        <f>TEXT(WEEKDAY(DATE(AnoCalendário,4,12),1),"ddd")</f>
        <v>qua</v>
      </c>
      <c r="O7" s="23" t="str">
        <f>TEXT(WEEKDAY(DATE(AnoCalendário,4,13),1),"ddd")</f>
        <v>qui</v>
      </c>
      <c r="P7" s="23" t="str">
        <f>TEXT(WEEKDAY(DATE(AnoCalendário,4,14),1),"ddd")</f>
        <v>sex</v>
      </c>
      <c r="Q7" s="23" t="str">
        <f>TEXT(WEEKDAY(DATE(AnoCalendário,4,15),1),"ddd")</f>
        <v>sáb</v>
      </c>
      <c r="R7" s="23" t="str">
        <f>TEXT(WEEKDAY(DATE(AnoCalendário,4,16),1),"ddd")</f>
        <v>dom</v>
      </c>
      <c r="S7" s="23" t="str">
        <f>TEXT(WEEKDAY(DATE(AnoCalendário,4,17),1),"ddd")</f>
        <v>seg</v>
      </c>
      <c r="T7" s="23" t="str">
        <f>TEXT(WEEKDAY(DATE(AnoCalendário,4,18),1),"ddd")</f>
        <v>ter</v>
      </c>
      <c r="U7" s="23" t="str">
        <f>TEXT(WEEKDAY(DATE(AnoCalendário,4,19),1),"ddd")</f>
        <v>qua</v>
      </c>
      <c r="V7" s="23" t="str">
        <f>TEXT(WEEKDAY(DATE(AnoCalendário,4,20),1),"ddd")</f>
        <v>qui</v>
      </c>
      <c r="W7" s="23" t="str">
        <f>TEXT(WEEKDAY(DATE(AnoCalendário,4,21),1),"ddd")</f>
        <v>sex</v>
      </c>
      <c r="X7" s="23" t="str">
        <f>TEXT(WEEKDAY(DATE(AnoCalendário,4,22),1),"ddd")</f>
        <v>sáb</v>
      </c>
      <c r="Y7" s="23" t="str">
        <f>TEXT(WEEKDAY(DATE(AnoCalendário,4,23),1),"ddd")</f>
        <v>dom</v>
      </c>
      <c r="Z7" s="23" t="str">
        <f>TEXT(WEEKDAY(DATE(AnoCalendário,4,24),1),"ddd")</f>
        <v>seg</v>
      </c>
      <c r="AA7" s="23" t="str">
        <f>TEXT(WEEKDAY(DATE(AnoCalendário,4,25),1),"ddd")</f>
        <v>ter</v>
      </c>
      <c r="AB7" s="23" t="str">
        <f>TEXT(WEEKDAY(DATE(AnoCalendário,4,26),1),"ddd")</f>
        <v>qua</v>
      </c>
      <c r="AC7" s="23" t="str">
        <f>TEXT(WEEKDAY(DATE(AnoCalendário,4,27),1),"ddd")</f>
        <v>qui</v>
      </c>
      <c r="AD7" s="23" t="str">
        <f>TEXT(WEEKDAY(DATE(AnoCalendário,4,28),1),"ddd")</f>
        <v>sex</v>
      </c>
      <c r="AE7" s="23" t="str">
        <f>TEXT(WEEKDAY(DATE(AnoCalendário,4,29),1),"ddd")</f>
        <v>sáb</v>
      </c>
      <c r="AF7" s="23" t="str">
        <f>TEXT(WEEKDAY(DATE(AnoCalendário,4,30),1),"ddd")</f>
        <v>dom</v>
      </c>
      <c r="AG7" s="23"/>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52</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COUNTA(March5[[#This Row],[1]:[ ]])</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COUNTA(March5[[#This Row],[1]:[ ]])</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COUNTA(March5[[#This Row],[1]:[ ]])</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COUNTA(March5[[#This Row],[1]:[ ]])</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COUNTA(March5[[#This Row],[1]:[ ]])</f>
        <v>0</v>
      </c>
    </row>
    <row r="14" spans="2:34" ht="30" customHeight="1">
      <c r="B14" s="5" t="str">
        <f>NomeMês&amp;" Total"</f>
        <v>Abril Total</v>
      </c>
      <c r="C14" s="4">
        <f>SUBTOTAL(103,March5[1])</f>
        <v>0</v>
      </c>
      <c r="D14" s="4">
        <f>SUBTOTAL(103,March5[2])</f>
        <v>0</v>
      </c>
      <c r="E14" s="4">
        <f>SUBTOTAL(103,March5[3])</f>
        <v>0</v>
      </c>
      <c r="F14" s="4">
        <f>SUBTOTAL(103,March5[4])</f>
        <v>0</v>
      </c>
      <c r="G14" s="4">
        <f>SUBTOTAL(103,March5[5])</f>
        <v>0</v>
      </c>
      <c r="H14" s="4">
        <f>SUBTOTAL(103,March5[6])</f>
        <v>0</v>
      </c>
      <c r="I14" s="4">
        <f>SUBTOTAL(103,March5[7])</f>
        <v>0</v>
      </c>
      <c r="J14" s="4">
        <f>SUBTOTAL(103,March5[8])</f>
        <v>0</v>
      </c>
      <c r="K14" s="4">
        <f>SUBTOTAL(103,March5[9])</f>
        <v>0</v>
      </c>
      <c r="L14" s="4">
        <f>SUBTOTAL(103,March5[10])</f>
        <v>0</v>
      </c>
      <c r="M14" s="4">
        <f>SUBTOTAL(103,March5[11])</f>
        <v>0</v>
      </c>
      <c r="N14" s="4">
        <f>SUBTOTAL(103,March5[12])</f>
        <v>0</v>
      </c>
      <c r="O14" s="4">
        <f>SUBTOTAL(103,March5[13])</f>
        <v>0</v>
      </c>
      <c r="P14" s="4">
        <f>SUBTOTAL(103,March5[14])</f>
        <v>0</v>
      </c>
      <c r="Q14" s="4">
        <f>SUBTOTAL(103,March5[15])</f>
        <v>0</v>
      </c>
      <c r="R14" s="4">
        <f>SUBTOTAL(103,March5[16])</f>
        <v>0</v>
      </c>
      <c r="S14" s="4">
        <f>SUBTOTAL(103,March5[17])</f>
        <v>0</v>
      </c>
      <c r="T14" s="4">
        <f>SUBTOTAL(103,March5[18])</f>
        <v>0</v>
      </c>
      <c r="U14" s="4">
        <f>SUBTOTAL(103,March5[19])</f>
        <v>0</v>
      </c>
      <c r="V14" s="4">
        <f>SUBTOTAL(103,March5[20])</f>
        <v>0</v>
      </c>
      <c r="W14" s="4">
        <f>SUBTOTAL(103,March5[21])</f>
        <v>0</v>
      </c>
      <c r="X14" s="4">
        <f>SUBTOTAL(103,March5[22])</f>
        <v>0</v>
      </c>
      <c r="Y14" s="4">
        <f>SUBTOTAL(103,March5[23])</f>
        <v>0</v>
      </c>
      <c r="Z14" s="4">
        <f>SUBTOTAL(103,March5[24])</f>
        <v>0</v>
      </c>
      <c r="AA14" s="4">
        <f>SUBTOTAL(103,March5[25])</f>
        <v>0</v>
      </c>
      <c r="AB14" s="4">
        <f>SUBTOTAL(103,March5[26])</f>
        <v>0</v>
      </c>
      <c r="AC14" s="4">
        <f>SUBTOTAL(103,March5[27])</f>
        <v>0</v>
      </c>
      <c r="AD14" s="4">
        <f>SUBTOTAL(103,March5[28])</f>
        <v>0</v>
      </c>
      <c r="AE14" s="4">
        <f>SUBTOTAL(103,March5[29])</f>
        <v>0</v>
      </c>
      <c r="AF14" s="4">
        <f>SUBTOTAL(109,March5[30])</f>
        <v>0</v>
      </c>
      <c r="AG14" s="4">
        <f>SUBTOTAL(109,March5[[ ]])</f>
        <v>0</v>
      </c>
      <c r="AH14" s="4">
        <f>SUBTOTAL(109,March5[Total de dias])</f>
        <v>0</v>
      </c>
    </row>
  </sheetData>
  <mergeCells count="6">
    <mergeCell ref="C6:AG6"/>
    <mergeCell ref="D4:F4"/>
    <mergeCell ref="H4:J4"/>
    <mergeCell ref="L4:O4"/>
    <mergeCell ref="Q4:T4"/>
    <mergeCell ref="V4:Y4"/>
  </mergeCells>
  <phoneticPr fontId="7" type="noConversion"/>
  <conditionalFormatting sqref="C9:AG13">
    <cfRule type="expression" priority="1" stopIfTrue="1">
      <formula>C9=""</formula>
    </cfRule>
    <cfRule type="expression" dxfId="665" priority="2" stopIfTrue="1">
      <formula>C9=ChavePersonalizada2</formula>
    </cfRule>
    <cfRule type="expression" dxfId="664" priority="3" stopIfTrue="1">
      <formula>C9=ChavePersonalizada1</formula>
    </cfRule>
    <cfRule type="expression" dxfId="663" priority="4" stopIfTrue="1">
      <formula>C9=ChaveLicençaMédica</formula>
    </cfRule>
    <cfRule type="expression" dxfId="662" priority="5" stopIfTrue="1">
      <formula>C9=ChavePessoal</formula>
    </cfRule>
    <cfRule type="expression" dxfId="661"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{C6C51CE4-E5A5-6548-B677-75BFC57A1AE7}</x14:id>
        </ext>
      </extLst>
    </cfRule>
  </conditionalFormatting>
  <dataValidations count="15">
    <dataValidation allowBlank="1" showInputMessage="1" showErrorMessage="1" prompt="Ano atualizado automaticamente com base no ano inserido na planilha de janeiro." sqref="AH6" xr:uid="{D534D450-4040-4C4B-ACFB-E0820ABC2CFC}"/>
    <dataValidation allowBlank="1" showInputMessage="1" showErrorMessage="1" prompt="Calcula automaticamente o número total de dias que um funcionário esteve ausente neste mês nesta coluna" sqref="AH8" xr:uid="{DC341019-F88D-494A-80A9-FE7E975A2861}"/>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F36BC021-F71B-E743-A612-BDD36FE48F9B}"/>
    <dataValidation allowBlank="1" showInputMessage="1" showErrorMessage="1" prompt="O título atualizado automaticamente está nesta célula. Para modificar o título, atualize B1 na planilha Janeiro." sqref="B2" xr:uid="{FC807180-F3E3-414D-9702-8FBC5210B550}"/>
    <dataValidation allowBlank="1" showInputMessage="1" showErrorMessage="1" prompt="A letra &quot;F&quot; indica falta devido a férias." sqref="C4" xr:uid="{9CBE34E6-0511-5048-AE20-9F897B187012}"/>
    <dataValidation allowBlank="1" showInputMessage="1" showErrorMessage="1" prompt="A letra &quot;P&quot; indica falta devido a motivos pessoais." sqref="G4" xr:uid="{5419C718-C3A6-674F-AF48-3D453E137C51}"/>
    <dataValidation allowBlank="1" showInputMessage="1" showErrorMessage="1" prompt="A letra &quot;L&quot; indica falta devido à licença médica." sqref="K4" xr:uid="{18D615F6-AC13-3C41-A34B-EA42A09C3C9E}"/>
    <dataValidation allowBlank="1" showInputMessage="1" showErrorMessage="1" prompt="Insira uma letra e personalize o rótulo à direita para adicionar outro item de chave." sqref="P4 U4" xr:uid="{D6CD6DEA-0056-CD45-92F4-DEFAAA621621}"/>
    <dataValidation allowBlank="1" showInputMessage="1" showErrorMessage="1" prompt="Insira um rótulo para descrever a chave personalizada à esquerda." sqref="V4 Q4" xr:uid="{3D377D6E-BC27-654F-9B85-1EA9759F1F9B}"/>
    <dataValidation allowBlank="1" showInputMessage="1" showErrorMessage="1" prompt="O nome do mês para essa agenda de faltas está nesta célula. Os totais de faltas deste mês estão na última célula da tabela. Selecione os nomes dos funcionários na tabela B." sqref="B2" xr:uid="{8A4BB08A-5DC1-A74C-9332-E844D960CD41}"/>
    <dataValidation allowBlank="1" showInputMessage="1" showErrorMessage="1" prompt="Os dias do mês nesta linha são gerados automaticamente. Insira a falta e o tipo de falta de um funcionário em cada coluna de cada dia do mês. Espaço vazio significa sem faltas." sqref="C8" xr:uid="{D8726BCE-956C-3B41-916D-0B0F98B156A4}"/>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492FF65C-4A5C-D048-AC41-58954D7E6423}"/>
    <dataValidation allowBlank="1" showInputMessage="1" showErrorMessage="1" prompt="Acompanhe as faltas de março nesta planilha." sqref="A1" xr:uid="{9C29030B-C671-584C-88AB-6E5DAA9E8710}"/>
    <dataValidation allowBlank="1" showInputMessage="1" showErrorMessage="1" prompt="Esta linha define as chaves utilizadas na tabela: a célula C4 é Férias, G4 é Pessoal e K4 é Licença médica. As células N4 e R4 são personalizáveis " sqref="B4" xr:uid="{5938E394-FC66-4AD8-81BE-3B6CE81FAFA6}"/>
    <dataValidation allowBlank="1" showInputMessage="1" showErrorMessage="1" prompt="O título desta planilha está nesta célula. " sqref="B1" xr:uid="{CFDFBA1E-67F5-48E1-9539-54C88919AFDF}"/>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C6C51CE4-E5A5-6548-B677-75BFC57A1AE7}">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A0626E6-C18A-DC42-8971-E3030B4FEB3F}">
          <x14:formula1>
            <xm:f>'Nomes dos funcionários'!$B$4:$B$8</xm:f>
          </x14:formula1>
          <xm:sqref>B9:B13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499984740745262"/>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28" t="s">
        <v>56</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TEXT(WEEKDAY(DATE(AnoCalendário,5,1),1),"ddd")</f>
        <v>seg</v>
      </c>
      <c r="D7" s="23" t="str">
        <f>TEXT(WEEKDAY(DATE(AnoCalendário,5,2),1),"ddd")</f>
        <v>ter</v>
      </c>
      <c r="E7" s="23" t="str">
        <f>TEXT(WEEKDAY(DATE(AnoCalendário,5,3),1),"ddd")</f>
        <v>qua</v>
      </c>
      <c r="F7" s="23" t="str">
        <f>TEXT(WEEKDAY(DATE(AnoCalendário,5,4),1),"ddd")</f>
        <v>qui</v>
      </c>
      <c r="G7" s="23" t="str">
        <f>TEXT(WEEKDAY(DATE(AnoCalendário,5,5),1),"ddd")</f>
        <v>sex</v>
      </c>
      <c r="H7" s="23" t="str">
        <f>TEXT(WEEKDAY(DATE(AnoCalendário,5,6),1),"ddd")</f>
        <v>sáb</v>
      </c>
      <c r="I7" s="23" t="str">
        <f>TEXT(WEEKDAY(DATE(AnoCalendário,5,7),1),"ddd")</f>
        <v>dom</v>
      </c>
      <c r="J7" s="23" t="str">
        <f>TEXT(WEEKDAY(DATE(AnoCalendário,5,8),1),"ddd")</f>
        <v>seg</v>
      </c>
      <c r="K7" s="23" t="str">
        <f>TEXT(WEEKDAY(DATE(AnoCalendário,5,9),1),"ddd")</f>
        <v>ter</v>
      </c>
      <c r="L7" s="23" t="str">
        <f>TEXT(WEEKDAY(DATE(AnoCalendário,5,10),1),"ddd")</f>
        <v>qua</v>
      </c>
      <c r="M7" s="23" t="str">
        <f>TEXT(WEEKDAY(DATE(AnoCalendário,5,11),1),"ddd")</f>
        <v>qui</v>
      </c>
      <c r="N7" s="23" t="str">
        <f>TEXT(WEEKDAY(DATE(AnoCalendário,5,12),1),"ddd")</f>
        <v>sex</v>
      </c>
      <c r="O7" s="23" t="str">
        <f>TEXT(WEEKDAY(DATE(AnoCalendário,5,13),1),"ddd")</f>
        <v>sáb</v>
      </c>
      <c r="P7" s="23" t="str">
        <f>TEXT(WEEKDAY(DATE(AnoCalendário,5,14),1),"ddd")</f>
        <v>dom</v>
      </c>
      <c r="Q7" s="23" t="str">
        <f>TEXT(WEEKDAY(DATE(AnoCalendário,5,15),1),"ddd")</f>
        <v>seg</v>
      </c>
      <c r="R7" s="23" t="str">
        <f>TEXT(WEEKDAY(DATE(AnoCalendário,5,16),1),"ddd")</f>
        <v>ter</v>
      </c>
      <c r="S7" s="23" t="str">
        <f>TEXT(WEEKDAY(DATE(AnoCalendário,5,17),1),"ddd")</f>
        <v>qua</v>
      </c>
      <c r="T7" s="23" t="str">
        <f>TEXT(WEEKDAY(DATE(AnoCalendário,5,18),1),"ddd")</f>
        <v>qui</v>
      </c>
      <c r="U7" s="23" t="str">
        <f>TEXT(WEEKDAY(DATE(AnoCalendário,5,19),1),"ddd")</f>
        <v>sex</v>
      </c>
      <c r="V7" s="23" t="str">
        <f>TEXT(WEEKDAY(DATE(AnoCalendário,5,20),1),"ddd")</f>
        <v>sáb</v>
      </c>
      <c r="W7" s="23" t="str">
        <f>TEXT(WEEKDAY(DATE(AnoCalendário,5,21),1),"ddd")</f>
        <v>dom</v>
      </c>
      <c r="X7" s="23" t="str">
        <f>TEXT(WEEKDAY(DATE(AnoCalendário,5,22),1),"ddd")</f>
        <v>seg</v>
      </c>
      <c r="Y7" s="23" t="str">
        <f>TEXT(WEEKDAY(DATE(AnoCalendário,5,23),1),"ddd")</f>
        <v>ter</v>
      </c>
      <c r="Z7" s="23" t="str">
        <f>TEXT(WEEKDAY(DATE(AnoCalendário,5,24),1),"ddd")</f>
        <v>qua</v>
      </c>
      <c r="AA7" s="23" t="str">
        <f>TEXT(WEEKDAY(DATE(AnoCalendário,5,25),1),"ddd")</f>
        <v>qui</v>
      </c>
      <c r="AB7" s="23" t="str">
        <f>TEXT(WEEKDAY(DATE(AnoCalendário,5,26),1),"ddd")</f>
        <v>sex</v>
      </c>
      <c r="AC7" s="23" t="str">
        <f>TEXT(WEEKDAY(DATE(AnoCalendário,5,27),1),"ddd")</f>
        <v>sáb</v>
      </c>
      <c r="AD7" s="23" t="str">
        <f>TEXT(WEEKDAY(DATE(AnoCalendário,5,28),1),"ddd")</f>
        <v>dom</v>
      </c>
      <c r="AE7" s="23" t="str">
        <f>TEXT(WEEKDAY(DATE(AnoCalendário,5,29),1),"ddd")</f>
        <v>seg</v>
      </c>
      <c r="AF7" s="23" t="str">
        <f>TEXT(WEEKDAY(DATE(AnoCalendário,5,30),1),"ddd")</f>
        <v>ter</v>
      </c>
      <c r="AG7" s="23" t="str">
        <f>TEXT(WEEKDAY(DATE(AnoCalendário,5,31),1),"ddd")</f>
        <v>qua</v>
      </c>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COUNTA(March58[[#This Row],[1]:[31]])</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COUNTA(March58[[#This Row],[1]:[31]])</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COUNTA(March58[[#This Row],[1]:[31]])</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COUNTA(March58[[#This Row],[1]:[31]])</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COUNTA(March58[[#This Row],[1]:[31]])</f>
        <v>0</v>
      </c>
    </row>
    <row r="14" spans="2:34" ht="30" customHeight="1">
      <c r="B14" s="5" t="str">
        <f>NomeMês&amp;" Total"</f>
        <v>Chave de tipo de falta Total</v>
      </c>
      <c r="C14" s="4">
        <f>SUBTOTAL(103,March58[1])</f>
        <v>0</v>
      </c>
      <c r="D14" s="4">
        <f>SUBTOTAL(103,March58[2])</f>
        <v>0</v>
      </c>
      <c r="E14" s="4">
        <f>SUBTOTAL(103,March58[3])</f>
        <v>0</v>
      </c>
      <c r="F14" s="4">
        <f>SUBTOTAL(103,March58[4])</f>
        <v>0</v>
      </c>
      <c r="G14" s="4">
        <f>SUBTOTAL(103,March58[5])</f>
        <v>0</v>
      </c>
      <c r="H14" s="4">
        <f>SUBTOTAL(103,March58[6])</f>
        <v>0</v>
      </c>
      <c r="I14" s="4">
        <f>SUBTOTAL(103,March58[7])</f>
        <v>0</v>
      </c>
      <c r="J14" s="4">
        <f>SUBTOTAL(103,March58[8])</f>
        <v>0</v>
      </c>
      <c r="K14" s="4">
        <f>SUBTOTAL(103,March58[9])</f>
        <v>0</v>
      </c>
      <c r="L14" s="4">
        <f>SUBTOTAL(103,March58[10])</f>
        <v>0</v>
      </c>
      <c r="M14" s="4">
        <f>SUBTOTAL(103,March58[11])</f>
        <v>0</v>
      </c>
      <c r="N14" s="4">
        <f>SUBTOTAL(103,March58[12])</f>
        <v>0</v>
      </c>
      <c r="O14" s="4">
        <f>SUBTOTAL(103,March58[13])</f>
        <v>0</v>
      </c>
      <c r="P14" s="4">
        <f>SUBTOTAL(103,March58[14])</f>
        <v>0</v>
      </c>
      <c r="Q14" s="4">
        <f>SUBTOTAL(103,March58[15])</f>
        <v>0</v>
      </c>
      <c r="R14" s="4">
        <f>SUBTOTAL(103,March58[16])</f>
        <v>0</v>
      </c>
      <c r="S14" s="4">
        <f>SUBTOTAL(103,March58[17])</f>
        <v>0</v>
      </c>
      <c r="T14" s="4">
        <f>SUBTOTAL(103,March58[18])</f>
        <v>0</v>
      </c>
      <c r="U14" s="4">
        <f>SUBTOTAL(103,March58[19])</f>
        <v>0</v>
      </c>
      <c r="V14" s="4">
        <f>SUBTOTAL(103,March58[20])</f>
        <v>0</v>
      </c>
      <c r="W14" s="4">
        <f>SUBTOTAL(103,March58[21])</f>
        <v>0</v>
      </c>
      <c r="X14" s="4">
        <f>SUBTOTAL(103,March58[22])</f>
        <v>0</v>
      </c>
      <c r="Y14" s="4">
        <f>SUBTOTAL(103,March58[23])</f>
        <v>0</v>
      </c>
      <c r="Z14" s="4">
        <f>SUBTOTAL(103,March58[24])</f>
        <v>0</v>
      </c>
      <c r="AA14" s="4">
        <f>SUBTOTAL(103,March58[25])</f>
        <v>0</v>
      </c>
      <c r="AB14" s="4">
        <f>SUBTOTAL(103,March58[26])</f>
        <v>0</v>
      </c>
      <c r="AC14" s="4">
        <f>SUBTOTAL(103,March58[27])</f>
        <v>0</v>
      </c>
      <c r="AD14" s="4">
        <f>SUBTOTAL(103,March58[28])</f>
        <v>0</v>
      </c>
      <c r="AE14" s="4">
        <f>SUBTOTAL(103,March58[29])</f>
        <v>0</v>
      </c>
      <c r="AF14" s="4">
        <f>SUBTOTAL(109,March58[30])</f>
        <v>0</v>
      </c>
      <c r="AG14" s="4">
        <f>SUBTOTAL(109,March58[31])</f>
        <v>0</v>
      </c>
      <c r="AH14" s="4">
        <f>SUBTOTAL(109,March58[Total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591" priority="2" stopIfTrue="1">
      <formula>C9=ChavePersonalizada2</formula>
    </cfRule>
    <cfRule type="expression" dxfId="590" priority="3" stopIfTrue="1">
      <formula>C9=ChavePersonalizada1</formula>
    </cfRule>
    <cfRule type="expression" dxfId="589" priority="4" stopIfTrue="1">
      <formula>C9=ChaveLicençaMédica</formula>
    </cfRule>
    <cfRule type="expression" dxfId="588" priority="5" stopIfTrue="1">
      <formula>C9=ChavePessoal</formula>
    </cfRule>
    <cfRule type="expression" dxfId="587"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{A375B1A4-CE4E-6D4B-BAE6-14354F30C96E}</x14:id>
        </ext>
      </extLst>
    </cfRule>
  </conditionalFormatting>
  <dataValidations count="15">
    <dataValidation allowBlank="1" showInputMessage="1" showErrorMessage="1" prompt="Os dias do mês nesta linha são gerados automaticamente. Insira a falta e o tipo de falta de um funcionário em cada coluna de cada dia do mês. Espaço vazio significa sem faltas." sqref="C8" xr:uid="{335D4725-041B-2E47-BBA9-5D657DA932CD}"/>
    <dataValidation allowBlank="1" showInputMessage="1" showErrorMessage="1" prompt="Insira um rótulo para descrever a chave personalizada à esquerda." sqref="V4 Q4" xr:uid="{F2F4B9BA-4CA6-A143-BE13-C064DBB63530}"/>
    <dataValidation allowBlank="1" showInputMessage="1" showErrorMessage="1" prompt="Insira uma letra e personalize o rótulo à direita para adicionar outro item de chave." sqref="P4 U4" xr:uid="{CF766EB9-3E0D-684E-A12B-CB8F4BAD775E}"/>
    <dataValidation allowBlank="1" showInputMessage="1" showErrorMessage="1" prompt="A letra &quot;L&quot; indica falta devido à licença médica." sqref="K4" xr:uid="{3537E7A5-9E96-464A-B5FE-F2820F66FFBD}"/>
    <dataValidation allowBlank="1" showInputMessage="1" showErrorMessage="1" prompt="A letra &quot;P&quot; indica falta devido a motivos pessoais." sqref="G4" xr:uid="{6ADF4CD3-D63B-E545-894D-A95EAB7AA9C6}"/>
    <dataValidation allowBlank="1" showInputMessage="1" showErrorMessage="1" prompt="A letra &quot;F&quot; indica falta devido a férias." sqref="C4" xr:uid="{71A4EE94-BDAB-1543-9622-ADA5E60EF442}"/>
    <dataValidation allowBlank="1" showInputMessage="1" showErrorMessage="1" prompt="O título atualizado automaticamente está nesta célula. Para modificar o título, atualize B1 na planilha Janeiro." sqref="B2" xr:uid="{AF65042B-CFA9-EE45-B22D-BF607EFD23A2}"/>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5151223E-F15A-CC42-BB59-D2CDBDCF3261}"/>
    <dataValidation allowBlank="1" showInputMessage="1" showErrorMessage="1" prompt="Calcula automaticamente o número total de dias que um funcionário esteve ausente neste mês nesta coluna" sqref="AH8" xr:uid="{AA6AB7B7-5D91-F64F-B211-A848209375D2}"/>
    <dataValidation allowBlank="1" showInputMessage="1" showErrorMessage="1" prompt="Ano atualizado automaticamente com base no ano inserido na planilha de janeiro." sqref="AH6" xr:uid="{B487DEDD-C1B1-7244-96C6-F378FEF21F51}"/>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01F3DA31-27D6-FF4D-B48B-4013BF344DCF}"/>
    <dataValidation allowBlank="1" showInputMessage="1" showErrorMessage="1" prompt="Acompanhe as faltas de março nesta planilha." sqref="A1" xr:uid="{13CF1C37-090E-F24B-AF68-CAE6199B19CC}"/>
    <dataValidation allowBlank="1" showInputMessage="1" showErrorMessage="1" prompt="O nome do mês para essa agenda de faltas está nesta célula. Os totais de faltas deste mês estão na última célula da tabela. Selecione os nomes dos funcionários na tabela B." sqref="B2" xr:uid="{B5AA8D04-FE35-8C4F-90FD-347160FC6301}"/>
    <dataValidation allowBlank="1" showInputMessage="1" showErrorMessage="1" prompt="Esta linha define as chaves utilizadas na tabela: a célula C4 é Férias, G4 é Pessoal e K4 é Licença médica. As células N4 e R4 são personalizáveis " sqref="B4" xr:uid="{E5AF47AE-EACF-4382-8995-97EA4D653F4A}"/>
    <dataValidation allowBlank="1" showInputMessage="1" showErrorMessage="1" prompt="O título desta planilha está nesta célula. " sqref="B1" xr:uid="{4F7FEADB-B66E-49E8-AD11-DB789AA552A4}"/>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A375B1A4-CE4E-6D4B-BAE6-14354F30C96E}">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B1B1DACF-B091-8040-A452-F5B0F1F6A6F7}">
          <x14:formula1>
            <xm:f>'Nomes dos funcionários'!$B$4:$B$8</xm:f>
          </x14:formula1>
          <xm:sqref>B9:B13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50.1" customHeight="1">
      <c r="B1" s="26" t="s">
        <v>0</v>
      </c>
    </row>
    <row r="2" spans="2:34" ht="100.15" customHeight="1">
      <c r="B2" s="33" t="s">
        <v>57</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TEXT(WEEKDAY(DATE(AnoCalendário,6,1),1),"ddd")</f>
        <v>qui</v>
      </c>
      <c r="D7" s="23" t="str">
        <f>TEXT(WEEKDAY(DATE(AnoCalendário,6,2),1),"ddd")</f>
        <v>sex</v>
      </c>
      <c r="E7" s="23" t="str">
        <f>TEXT(WEEKDAY(DATE(AnoCalendário,6,3),1),"ddd")</f>
        <v>sáb</v>
      </c>
      <c r="F7" s="23" t="str">
        <f>TEXT(WEEKDAY(DATE(AnoCalendário,6,4),1),"ddd")</f>
        <v>dom</v>
      </c>
      <c r="G7" s="23" t="str">
        <f>TEXT(WEEKDAY(DATE(AnoCalendário,6,5),1),"ddd")</f>
        <v>seg</v>
      </c>
      <c r="H7" s="23" t="str">
        <f>TEXT(WEEKDAY(DATE(AnoCalendário,6,6),1),"ddd")</f>
        <v>ter</v>
      </c>
      <c r="I7" s="23" t="str">
        <f>TEXT(WEEKDAY(DATE(AnoCalendário,6,7),1),"ddd")</f>
        <v>qua</v>
      </c>
      <c r="J7" s="23" t="str">
        <f>TEXT(WEEKDAY(DATE(AnoCalendário,6,8),1),"ddd")</f>
        <v>qui</v>
      </c>
      <c r="K7" s="23" t="str">
        <f>TEXT(WEEKDAY(DATE(AnoCalendário,6,9),1),"ddd")</f>
        <v>sex</v>
      </c>
      <c r="L7" s="23" t="str">
        <f>TEXT(WEEKDAY(DATE(AnoCalendário,6,10),1),"ddd")</f>
        <v>sáb</v>
      </c>
      <c r="M7" s="23" t="str">
        <f>TEXT(WEEKDAY(DATE(AnoCalendário,6,11),1),"ddd")</f>
        <v>dom</v>
      </c>
      <c r="N7" s="23" t="str">
        <f>TEXT(WEEKDAY(DATE(AnoCalendário,6,12),1),"ddd")</f>
        <v>seg</v>
      </c>
      <c r="O7" s="23" t="str">
        <f>TEXT(WEEKDAY(DATE(AnoCalendário,6,13),1),"ddd")</f>
        <v>ter</v>
      </c>
      <c r="P7" s="23" t="str">
        <f>TEXT(WEEKDAY(DATE(AnoCalendário,6,14),1),"ddd")</f>
        <v>qua</v>
      </c>
      <c r="Q7" s="23" t="str">
        <f>TEXT(WEEKDAY(DATE(AnoCalendário,6,15),1),"ddd")</f>
        <v>qui</v>
      </c>
      <c r="R7" s="23" t="str">
        <f>TEXT(WEEKDAY(DATE(AnoCalendário,6,16),1),"ddd")</f>
        <v>sex</v>
      </c>
      <c r="S7" s="23" t="str">
        <f>TEXT(WEEKDAY(DATE(AnoCalendário,6,17),1),"ddd")</f>
        <v>sáb</v>
      </c>
      <c r="T7" s="23" t="str">
        <f>TEXT(WEEKDAY(DATE(AnoCalendário,6,18),1),"ddd")</f>
        <v>dom</v>
      </c>
      <c r="U7" s="23" t="str">
        <f>TEXT(WEEKDAY(DATE(AnoCalendário,6,19),1),"ddd")</f>
        <v>seg</v>
      </c>
      <c r="V7" s="23" t="str">
        <f>TEXT(WEEKDAY(DATE(AnoCalendário,6,20),1),"ddd")</f>
        <v>ter</v>
      </c>
      <c r="W7" s="23" t="str">
        <f>TEXT(WEEKDAY(DATE(AnoCalendário,6,21),1),"ddd")</f>
        <v>qua</v>
      </c>
      <c r="X7" s="23" t="str">
        <f>TEXT(WEEKDAY(DATE(AnoCalendário,6,22),1),"ddd")</f>
        <v>qui</v>
      </c>
      <c r="Y7" s="23" t="str">
        <f>TEXT(WEEKDAY(DATE(AnoCalendário,6,23),1),"ddd")</f>
        <v>sex</v>
      </c>
      <c r="Z7" s="23" t="str">
        <f>TEXT(WEEKDAY(DATE(AnoCalendário,6,24),1),"ddd")</f>
        <v>sáb</v>
      </c>
      <c r="AA7" s="23" t="str">
        <f>TEXT(WEEKDAY(DATE(AnoCalendário,6,25),1),"ddd")</f>
        <v>dom</v>
      </c>
      <c r="AB7" s="23" t="str">
        <f>TEXT(WEEKDAY(DATE(AnoCalendário,6,26),1),"ddd")</f>
        <v>seg</v>
      </c>
      <c r="AC7" s="23" t="str">
        <f>TEXT(WEEKDAY(DATE(AnoCalendário,6,27),1),"ddd")</f>
        <v>ter</v>
      </c>
      <c r="AD7" s="23" t="str">
        <f>TEXT(WEEKDAY(DATE(AnoCalendário,6,28),1),"ddd")</f>
        <v>qua</v>
      </c>
      <c r="AE7" s="23" t="str">
        <f>TEXT(WEEKDAY(DATE(AnoCalendário,6,29),1),"ddd")</f>
        <v>qui</v>
      </c>
      <c r="AF7" s="23" t="str">
        <f>TEXT(WEEKDAY(DATE(AnoCalendário,6,30),1),"ddd")</f>
        <v>sex</v>
      </c>
      <c r="AG7" s="23"/>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52</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COUNTA(Junho[[#This Row],[1]:[ ]])</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COUNTA(Junho[[#This Row],[1]:[ ]])</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COUNTA(Junho[[#This Row],[1]:[ ]])</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COUNTA(Junho[[#This Row],[1]:[ ]])</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COUNTA(Junho[[#This Row],[1]:[ ]])</f>
        <v>0</v>
      </c>
    </row>
    <row r="14" spans="2:34" ht="30" customHeight="1">
      <c r="B14" s="5" t="str">
        <f>NomeMês&amp;" Total"</f>
        <v>Junho Total</v>
      </c>
      <c r="C14" s="4">
        <f>SUBTOTAL(103,Junho[1])</f>
        <v>0</v>
      </c>
      <c r="D14" s="4">
        <f>SUBTOTAL(103,Junho[2])</f>
        <v>0</v>
      </c>
      <c r="E14" s="4">
        <f>SUBTOTAL(103,Junho[3])</f>
        <v>0</v>
      </c>
      <c r="F14" s="4">
        <f>SUBTOTAL(103,Junho[4])</f>
        <v>0</v>
      </c>
      <c r="G14" s="4">
        <f>SUBTOTAL(103,Junho[5])</f>
        <v>0</v>
      </c>
      <c r="H14" s="4">
        <f>SUBTOTAL(103,Junho[6])</f>
        <v>0</v>
      </c>
      <c r="I14" s="4">
        <f>SUBTOTAL(103,Junho[7])</f>
        <v>0</v>
      </c>
      <c r="J14" s="4">
        <f>SUBTOTAL(103,Junho[8])</f>
        <v>0</v>
      </c>
      <c r="K14" s="4">
        <f>SUBTOTAL(103,Junho[9])</f>
        <v>0</v>
      </c>
      <c r="L14" s="4">
        <f>SUBTOTAL(103,Junho[10])</f>
        <v>0</v>
      </c>
      <c r="M14" s="4">
        <f>SUBTOTAL(103,Junho[11])</f>
        <v>0</v>
      </c>
      <c r="N14" s="4">
        <f>SUBTOTAL(103,Junho[12])</f>
        <v>0</v>
      </c>
      <c r="O14" s="4">
        <f>SUBTOTAL(103,Junho[13])</f>
        <v>0</v>
      </c>
      <c r="P14" s="4">
        <f>SUBTOTAL(103,Junho[14])</f>
        <v>0</v>
      </c>
      <c r="Q14" s="4">
        <f>SUBTOTAL(103,Junho[15])</f>
        <v>0</v>
      </c>
      <c r="R14" s="4">
        <f>SUBTOTAL(103,Junho[16])</f>
        <v>0</v>
      </c>
      <c r="S14" s="4">
        <f>SUBTOTAL(103,Junho[17])</f>
        <v>0</v>
      </c>
      <c r="T14" s="4">
        <f>SUBTOTAL(103,Junho[18])</f>
        <v>0</v>
      </c>
      <c r="U14" s="4">
        <f>SUBTOTAL(103,Junho[19])</f>
        <v>0</v>
      </c>
      <c r="V14" s="4">
        <f>SUBTOTAL(103,Junho[20])</f>
        <v>0</v>
      </c>
      <c r="W14" s="4">
        <f>SUBTOTAL(103,Junho[21])</f>
        <v>0</v>
      </c>
      <c r="X14" s="4">
        <f>SUBTOTAL(103,Junho[22])</f>
        <v>0</v>
      </c>
      <c r="Y14" s="4">
        <f>SUBTOTAL(103,Junho[23])</f>
        <v>0</v>
      </c>
      <c r="Z14" s="4">
        <f>SUBTOTAL(103,Junho[24])</f>
        <v>0</v>
      </c>
      <c r="AA14" s="4">
        <f>SUBTOTAL(103,Junho[25])</f>
        <v>0</v>
      </c>
      <c r="AB14" s="4">
        <f>SUBTOTAL(103,Junho[26])</f>
        <v>0</v>
      </c>
      <c r="AC14" s="4">
        <f>SUBTOTAL(103,Junho[27])</f>
        <v>0</v>
      </c>
      <c r="AD14" s="4">
        <f>SUBTOTAL(103,Junho[28])</f>
        <v>0</v>
      </c>
      <c r="AE14" s="4">
        <f>SUBTOTAL(103,Junho[29])</f>
        <v>0</v>
      </c>
      <c r="AF14" s="4">
        <f>SUBTOTAL(109,Junho[30])</f>
        <v>0</v>
      </c>
      <c r="AG14" s="4">
        <f>SUBTOTAL(109,Junho[[ ]])</f>
        <v>0</v>
      </c>
      <c r="AH14" s="4">
        <f>SUBTOTAL(109,Junho[Total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517" priority="2" stopIfTrue="1">
      <formula>C9=ChavePersonalizada2</formula>
    </cfRule>
    <cfRule type="expression" dxfId="516" priority="3" stopIfTrue="1">
      <formula>C9=ChavePersonalizada1</formula>
    </cfRule>
    <cfRule type="expression" dxfId="515" priority="4" stopIfTrue="1">
      <formula>C9=ChaveLicençaMédica</formula>
    </cfRule>
    <cfRule type="expression" dxfId="514" priority="5" stopIfTrue="1">
      <formula>C9=ChavePessoal</formula>
    </cfRule>
    <cfRule type="expression" dxfId="513"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{5E94D469-7B22-408B-924D-8DC8A136AD3B}</x14:id>
        </ext>
      </extLst>
    </cfRule>
  </conditionalFormatting>
  <dataValidations count="15">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85B1AA25-701F-5E4F-A537-8492818323AC}"/>
    <dataValidation allowBlank="1" showInputMessage="1" showErrorMessage="1" prompt="Ano atualizado automaticamente com base no ano inserido na planilha de janeiro." sqref="AH6" xr:uid="{84DE34BD-C74C-E949-BDDC-390099447919}"/>
    <dataValidation allowBlank="1" showInputMessage="1" showErrorMessage="1" prompt="Calcula automaticamente o número total de dias em que um funcionário esteve ausente deste mês nesta coluna." sqref="AH8" xr:uid="{EFC3BF89-2526-1648-9032-54E38409D629}"/>
    <dataValidation allowBlank="1" showInputMessage="1" showErrorMessage="1" prompt="Acompanhe as faltas de junho nesta planilha." sqref="A1" xr:uid="{00000000-0002-0000-0500-000003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D4ADDEE7-3BB2-0A42-AA24-1DBB30531A38}"/>
    <dataValidation allowBlank="1" showInputMessage="1" showErrorMessage="1" prompt="O título atualizado automaticamente está nesta célula. Para modificar o título, atualize B1 na planilha Janeiro." sqref="B2" xr:uid="{00000000-0002-0000-0500-000005000000}"/>
    <dataValidation allowBlank="1" showInputMessage="1" showErrorMessage="1" prompt="A letra &quot;F&quot; indica falta devido a férias." sqref="C4" xr:uid="{063A296C-F0C1-7D40-A420-7E4F7FE9CFFC}"/>
    <dataValidation allowBlank="1" showInputMessage="1" showErrorMessage="1" prompt="A letra &quot;P&quot; indica falta devido a motivos pessoais." sqref="G4" xr:uid="{7B0AE11E-F6A2-AD47-8416-1B2675569D32}"/>
    <dataValidation allowBlank="1" showInputMessage="1" showErrorMessage="1" prompt="A letra &quot;L&quot; indica falta devido à licença médica." sqref="K4" xr:uid="{B7A7B06A-9278-F146-B6AA-7DC18A17F2CB}"/>
    <dataValidation allowBlank="1" showInputMessage="1" showErrorMessage="1" prompt="Insira uma letra e personalize o rótulo à direita para adicionar outro item de chave." sqref="P4 U4" xr:uid="{BCCD7B63-1804-5040-82B0-DF0BF821857D}"/>
    <dataValidation allowBlank="1" showInputMessage="1" showErrorMessage="1" prompt="Insira um rótulo para descrever a chave personalizada à esquerda." sqref="V4 Q4" xr:uid="{7C729E06-0D5C-3147-AB97-5D821DA85CA6}"/>
    <dataValidation allowBlank="1" showInputMessage="1" showErrorMessage="1" prompt="O nome do mês para essa agenda de faltas está nesta célula. Os totais de faltas deste mês estão na última célula da tabela. Selecione os nomes dos funcionários na tabela B." sqref="B2" xr:uid="{00000000-0002-0000-0500-00000C000000}"/>
    <dataValidation allowBlank="1" showInputMessage="1" showErrorMessage="1" prompt="Os dias do mês nesta linha são gerados automaticamente. Insira a falta e o tipo de falta de um funcionário em cada coluna de cada dia do mês. Espaço vazio significa sem faltas." sqref="C8" xr:uid="{5F765F6B-473A-3349-9925-D065E8DF0F17}"/>
    <dataValidation allowBlank="1" showInputMessage="1" showErrorMessage="1" prompt="Esta linha define as chaves utilizadas na tabela: a célula C4 é Férias, G4 é Pessoal e K4 é Licença médica. As células N4 e R4 são personalizáveis " sqref="B4" xr:uid="{9A98F9D7-8874-4D13-82D2-1EEC27A6D951}"/>
    <dataValidation allowBlank="1" showInputMessage="1" showErrorMessage="1" prompt="O título desta planilha está nesta célula. " sqref="B1" xr:uid="{D81EDF62-F132-4F32-A772-764FF14B69A5}"/>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5E94D469-7B22-408B-924D-8DC8A136AD3B}">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E000000}">
          <x14:formula1>
            <xm:f>'Nomes dos funcionários'!$B$4:$B$8</xm:f>
          </x14:formula1>
          <xm:sqref>B9:B13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34" t="s">
        <v>58</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TEXT(WEEKDAY(DATE(AnoCalendário,7,1),1),"ddd")</f>
        <v>sáb</v>
      </c>
      <c r="D7" s="23" t="str">
        <f>TEXT(WEEKDAY(DATE(AnoCalendário,7,2),1),"ddd")</f>
        <v>dom</v>
      </c>
      <c r="E7" s="23" t="str">
        <f>TEXT(WEEKDAY(DATE(AnoCalendário,7,3),1),"ddd")</f>
        <v>seg</v>
      </c>
      <c r="F7" s="23" t="str">
        <f>TEXT(WEEKDAY(DATE(AnoCalendário,7,4),1),"ddd")</f>
        <v>ter</v>
      </c>
      <c r="G7" s="23" t="str">
        <f>TEXT(WEEKDAY(DATE(AnoCalendário,7,5),1),"ddd")</f>
        <v>qua</v>
      </c>
      <c r="H7" s="23" t="str">
        <f>TEXT(WEEKDAY(DATE(AnoCalendário,7,6),1),"ddd")</f>
        <v>qui</v>
      </c>
      <c r="I7" s="23" t="str">
        <f>TEXT(WEEKDAY(DATE(AnoCalendário,7,7),1),"ddd")</f>
        <v>sex</v>
      </c>
      <c r="J7" s="23" t="str">
        <f>TEXT(WEEKDAY(DATE(AnoCalendário,7,8),1),"ddd")</f>
        <v>sáb</v>
      </c>
      <c r="K7" s="23" t="str">
        <f>TEXT(WEEKDAY(DATE(AnoCalendário,7,9),1),"ddd")</f>
        <v>dom</v>
      </c>
      <c r="L7" s="23" t="str">
        <f>TEXT(WEEKDAY(DATE(AnoCalendário,7,10),1),"ddd")</f>
        <v>seg</v>
      </c>
      <c r="M7" s="23" t="str">
        <f>TEXT(WEEKDAY(DATE(AnoCalendário,7,11),1),"ddd")</f>
        <v>ter</v>
      </c>
      <c r="N7" s="23" t="str">
        <f>TEXT(WEEKDAY(DATE(AnoCalendário,7,12),1),"ddd")</f>
        <v>qua</v>
      </c>
      <c r="O7" s="23" t="str">
        <f>TEXT(WEEKDAY(DATE(AnoCalendário,7,13),1),"ddd")</f>
        <v>qui</v>
      </c>
      <c r="P7" s="23" t="str">
        <f>TEXT(WEEKDAY(DATE(AnoCalendário,7,14),1),"ddd")</f>
        <v>sex</v>
      </c>
      <c r="Q7" s="23" t="str">
        <f>TEXT(WEEKDAY(DATE(AnoCalendário,7,15),1),"ddd")</f>
        <v>sáb</v>
      </c>
      <c r="R7" s="23" t="str">
        <f>TEXT(WEEKDAY(DATE(AnoCalendário,7,16),1),"ddd")</f>
        <v>dom</v>
      </c>
      <c r="S7" s="23" t="str">
        <f>TEXT(WEEKDAY(DATE(AnoCalendário,7,17),1),"ddd")</f>
        <v>seg</v>
      </c>
      <c r="T7" s="23" t="str">
        <f>TEXT(WEEKDAY(DATE(AnoCalendário,7,18),1),"ddd")</f>
        <v>ter</v>
      </c>
      <c r="U7" s="23" t="str">
        <f>TEXT(WEEKDAY(DATE(AnoCalendário,7,19),1),"ddd")</f>
        <v>qua</v>
      </c>
      <c r="V7" s="23" t="str">
        <f>TEXT(WEEKDAY(DATE(AnoCalendário,7,20),1),"ddd")</f>
        <v>qui</v>
      </c>
      <c r="W7" s="23" t="str">
        <f>TEXT(WEEKDAY(DATE(AnoCalendário,7,21),1),"ddd")</f>
        <v>sex</v>
      </c>
      <c r="X7" s="23" t="str">
        <f>TEXT(WEEKDAY(DATE(AnoCalendário,7,22),1),"ddd")</f>
        <v>sáb</v>
      </c>
      <c r="Y7" s="23" t="str">
        <f>TEXT(WEEKDAY(DATE(AnoCalendário,7,23),1),"ddd")</f>
        <v>dom</v>
      </c>
      <c r="Z7" s="23" t="str">
        <f>TEXT(WEEKDAY(DATE(AnoCalendário,7,24),1),"ddd")</f>
        <v>seg</v>
      </c>
      <c r="AA7" s="23" t="str">
        <f>TEXT(WEEKDAY(DATE(AnoCalendário,7,25),1),"ddd")</f>
        <v>ter</v>
      </c>
      <c r="AB7" s="23" t="str">
        <f>TEXT(WEEKDAY(DATE(AnoCalendário,7,26),1),"ddd")</f>
        <v>qua</v>
      </c>
      <c r="AC7" s="23" t="str">
        <f>TEXT(WEEKDAY(DATE(AnoCalendário,7,27),1),"ddd")</f>
        <v>qui</v>
      </c>
      <c r="AD7" s="23" t="str">
        <f>TEXT(WEEKDAY(DATE(AnoCalendário,7,28),1),"ddd")</f>
        <v>sex</v>
      </c>
      <c r="AE7" s="23" t="str">
        <f>TEXT(WEEKDAY(DATE(AnoCalendário,7,29),1),"ddd")</f>
        <v>sáb</v>
      </c>
      <c r="AF7" s="23" t="str">
        <f>TEXT(WEEKDAY(DATE(AnoCalendário,7,30),1),"ddd")</f>
        <v>dom</v>
      </c>
      <c r="AG7" s="23" t="str">
        <f>TEXT(WEEKDAY(DATE(AnoCalendário,7,31),1),"ddd")</f>
        <v>seg</v>
      </c>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COUNTA(Julho[[#This Row],[1]:[31]])</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COUNTA(Julho[[#This Row],[1]:[31]])</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COUNTA(Julho[[#This Row],[1]:[31]])</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COUNTA(Julho[[#This Row],[1]:[31]])</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COUNTA(Julho[[#This Row],[1]:[31]])</f>
        <v>0</v>
      </c>
    </row>
    <row r="14" spans="2:34" ht="30" customHeight="1">
      <c r="B14" s="5" t="str">
        <f>NomeMês&amp;" Total"</f>
        <v>Julho Total</v>
      </c>
      <c r="C14" s="4">
        <f>SUBTOTAL(103,Julho[1])</f>
        <v>0</v>
      </c>
      <c r="D14" s="4">
        <f>SUBTOTAL(103,Julho[2])</f>
        <v>0</v>
      </c>
      <c r="E14" s="4">
        <f>SUBTOTAL(103,Julho[3])</f>
        <v>0</v>
      </c>
      <c r="F14" s="4">
        <f>SUBTOTAL(103,Julho[4])</f>
        <v>0</v>
      </c>
      <c r="G14" s="4">
        <f>SUBTOTAL(103,Julho[5])</f>
        <v>0</v>
      </c>
      <c r="H14" s="4">
        <f>SUBTOTAL(103,Julho[6])</f>
        <v>0</v>
      </c>
      <c r="I14" s="4">
        <f>SUBTOTAL(103,Julho[7])</f>
        <v>0</v>
      </c>
      <c r="J14" s="4">
        <f>SUBTOTAL(103,Julho[8])</f>
        <v>0</v>
      </c>
      <c r="K14" s="4">
        <f>SUBTOTAL(103,Julho[9])</f>
        <v>0</v>
      </c>
      <c r="L14" s="4">
        <f>SUBTOTAL(103,Julho[10])</f>
        <v>0</v>
      </c>
      <c r="M14" s="4">
        <f>SUBTOTAL(103,Julho[11])</f>
        <v>0</v>
      </c>
      <c r="N14" s="4">
        <f>SUBTOTAL(103,Julho[12])</f>
        <v>0</v>
      </c>
      <c r="O14" s="4">
        <f>SUBTOTAL(103,Julho[13])</f>
        <v>0</v>
      </c>
      <c r="P14" s="4">
        <f>SUBTOTAL(103,Julho[14])</f>
        <v>0</v>
      </c>
      <c r="Q14" s="4">
        <f>SUBTOTAL(103,Julho[15])</f>
        <v>0</v>
      </c>
      <c r="R14" s="4">
        <f>SUBTOTAL(103,Julho[16])</f>
        <v>0</v>
      </c>
      <c r="S14" s="4">
        <f>SUBTOTAL(103,Julho[17])</f>
        <v>0</v>
      </c>
      <c r="T14" s="4">
        <f>SUBTOTAL(103,Julho[18])</f>
        <v>0</v>
      </c>
      <c r="U14" s="4">
        <f>SUBTOTAL(103,Julho[19])</f>
        <v>0</v>
      </c>
      <c r="V14" s="4">
        <f>SUBTOTAL(103,Julho[20])</f>
        <v>0</v>
      </c>
      <c r="W14" s="4">
        <f>SUBTOTAL(103,Julho[21])</f>
        <v>0</v>
      </c>
      <c r="X14" s="4">
        <f>SUBTOTAL(103,Julho[22])</f>
        <v>0</v>
      </c>
      <c r="Y14" s="4">
        <f>SUBTOTAL(103,Julho[23])</f>
        <v>0</v>
      </c>
      <c r="Z14" s="4">
        <f>SUBTOTAL(103,Julho[24])</f>
        <v>0</v>
      </c>
      <c r="AA14" s="4">
        <f>SUBTOTAL(103,Julho[25])</f>
        <v>0</v>
      </c>
      <c r="AB14" s="4">
        <f>SUBTOTAL(103,Julho[26])</f>
        <v>0</v>
      </c>
      <c r="AC14" s="4">
        <f>SUBTOTAL(103,Julho[27])</f>
        <v>0</v>
      </c>
      <c r="AD14" s="4">
        <f>SUBTOTAL(103,Julho[28])</f>
        <v>0</v>
      </c>
      <c r="AE14" s="4">
        <f>SUBTOTAL(103,Julho[29])</f>
        <v>0</v>
      </c>
      <c r="AF14" s="4">
        <f>SUBTOTAL(109,Julho[30])</f>
        <v>0</v>
      </c>
      <c r="AG14" s="4">
        <f>SUBTOTAL(109,Julho[31])</f>
        <v>0</v>
      </c>
      <c r="AH14" s="4">
        <f>SUBTOTAL(109,Julho[Total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443" priority="2" stopIfTrue="1">
      <formula>C9=ChavePersonalizada2</formula>
    </cfRule>
    <cfRule type="expression" dxfId="442" priority="3" stopIfTrue="1">
      <formula>C9=ChavePersonalizada1</formula>
    </cfRule>
    <cfRule type="expression" dxfId="441" priority="4" stopIfTrue="1">
      <formula>C9=ChaveLicençaMédica</formula>
    </cfRule>
    <cfRule type="expression" dxfId="440" priority="5" stopIfTrue="1">
      <formula>C9=ChavePessoal</formula>
    </cfRule>
    <cfRule type="expression" dxfId="439"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{E0DCF129-9B2A-4CEB-9E56-27607F4BED20}</x14:id>
        </ext>
      </extLst>
    </cfRule>
  </conditionalFormatting>
  <dataValidations count="15">
    <dataValidation allowBlank="1" showInputMessage="1" showErrorMessage="1" prompt="Os dias do mês nesta linha são gerados automaticamente. Insira a falta e o tipo de falta de um funcionário em cada coluna de cada dia do mês. Espaço vazio significa sem faltas." sqref="C8" xr:uid="{03C1A45F-45B9-C64C-AB94-81563D673730}"/>
    <dataValidation allowBlank="1" showInputMessage="1" showErrorMessage="1" prompt="O nome do mês para essa agenda de faltas está nesta célula. Os totais de faltas deste mês estão na última célula da tabela. Selecione os nomes dos funcionários na tabela B." sqref="B2" xr:uid="{00000000-0002-0000-0600-000001000000}"/>
    <dataValidation allowBlank="1" showInputMessage="1" showErrorMessage="1" prompt="Insira um rótulo para descrever a chave personalizada à esquerda." sqref="V4 Q4" xr:uid="{0D4DD0DA-09CF-9E44-99CA-A5867B7A5DE0}"/>
    <dataValidation allowBlank="1" showInputMessage="1" showErrorMessage="1" prompt="Insira uma letra e personalize o rótulo à direita para adicionar outro item de chave." sqref="P4 U4" xr:uid="{7958A2AB-CEB1-064A-ADC4-DFE205FED828}"/>
    <dataValidation allowBlank="1" showInputMessage="1" showErrorMessage="1" prompt="A letra &quot;L&quot; indica falta devido à licença médica." sqref="K4" xr:uid="{58CC404D-17ED-6445-ACB8-A79585398428}"/>
    <dataValidation allowBlank="1" showInputMessage="1" showErrorMessage="1" prompt="A letra &quot;P&quot; indica falta devido a motivos pessoais." sqref="G4" xr:uid="{BB2F932F-117E-4C44-89E0-7036B9C55FB7}"/>
    <dataValidation allowBlank="1" showInputMessage="1" showErrorMessage="1" prompt="A letra &quot;F&quot; indica falta devido a férias." sqref="C4" xr:uid="{02BD24EB-B095-F64C-94A8-7E7708BAF1AD}"/>
    <dataValidation allowBlank="1" showInputMessage="1" showErrorMessage="1" prompt="O título atualizado automaticamente está nesta célula. Para modificar o título, atualize B1 na planilha Janeiro." sqref="B2" xr:uid="{00000000-0002-0000-0600-000008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56BA2E4C-7843-2040-9E97-682F447A602F}"/>
    <dataValidation allowBlank="1" showInputMessage="1" showErrorMessage="1" prompt="Acompanhe as faltas de julho nesta planilha" sqref="A1" xr:uid="{00000000-0002-0000-0600-00000A000000}"/>
    <dataValidation allowBlank="1" showInputMessage="1" showErrorMessage="1" prompt="Calcula automaticamente o número total de dias em que um funcionário esteve ausente deste mês nesta coluna." sqref="AH8" xr:uid="{7EEB97FE-C4E8-0B42-8F26-4ACE0C358EA5}"/>
    <dataValidation allowBlank="1" showInputMessage="1" showErrorMessage="1" prompt="Ano atualizado automaticamente com base no ano inserido na planilha de janeiro." sqref="AH6" xr:uid="{00000000-0002-0000-0600-00000C000000}"/>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956AA00F-FA3E-EE4C-BC75-65E8AA2EA95F}"/>
    <dataValidation allowBlank="1" showInputMessage="1" showErrorMessage="1" prompt="Esta linha define as chaves utilizadas na tabela: a célula C4 é Férias, G4 é Pessoal e K4 é Licença médica. As células N4 e R4 são personalizáveis " sqref="B4" xr:uid="{49FE03CF-624B-4523-A1B1-B51C2CB6F6D6}"/>
    <dataValidation allowBlank="1" showInputMessage="1" showErrorMessage="1" prompt="O título desta planilha está nesta célula. " sqref="B1" xr:uid="{0AC8E3EA-A233-463E-AEDF-A0DB4FC9697F}"/>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0DCF129-9B2A-4CEB-9E56-27607F4BED20}">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E000000}">
          <x14:formula1>
            <xm:f>'Nomes dos funcionários'!$B$4:$B$8</xm:f>
          </x14:formula1>
          <xm:sqref>B9:B13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8"/>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33" t="s">
        <v>59</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TEXT(WEEKDAY(DATE(AnoCalendário,8,1),1),"ddd")</f>
        <v>ter</v>
      </c>
      <c r="D7" s="23" t="str">
        <f>TEXT(WEEKDAY(DATE(AnoCalendário,8,2),1),"ddd")</f>
        <v>qua</v>
      </c>
      <c r="E7" s="23" t="str">
        <f>TEXT(WEEKDAY(DATE(AnoCalendário,8,3),1),"ddd")</f>
        <v>qui</v>
      </c>
      <c r="F7" s="23" t="str">
        <f>TEXT(WEEKDAY(DATE(AnoCalendário,8,4),1),"ddd")</f>
        <v>sex</v>
      </c>
      <c r="G7" s="23" t="str">
        <f>TEXT(WEEKDAY(DATE(AnoCalendário,8,5),1),"ddd")</f>
        <v>sáb</v>
      </c>
      <c r="H7" s="23" t="str">
        <f>TEXT(WEEKDAY(DATE(AnoCalendário,8,6),1),"ddd")</f>
        <v>dom</v>
      </c>
      <c r="I7" s="23" t="str">
        <f>TEXT(WEEKDAY(DATE(AnoCalendário,8,7),1),"ddd")</f>
        <v>seg</v>
      </c>
      <c r="J7" s="23" t="str">
        <f>TEXT(WEEKDAY(DATE(AnoCalendário,8,8),1),"ddd")</f>
        <v>ter</v>
      </c>
      <c r="K7" s="23" t="str">
        <f>TEXT(WEEKDAY(DATE(AnoCalendário,8,9),1),"ddd")</f>
        <v>qua</v>
      </c>
      <c r="L7" s="23" t="str">
        <f>TEXT(WEEKDAY(DATE(AnoCalendário,8,10),1),"ddd")</f>
        <v>qui</v>
      </c>
      <c r="M7" s="23" t="str">
        <f>TEXT(WEEKDAY(DATE(AnoCalendário,8,11),1),"ddd")</f>
        <v>sex</v>
      </c>
      <c r="N7" s="23" t="str">
        <f>TEXT(WEEKDAY(DATE(AnoCalendário,8,12),1),"ddd")</f>
        <v>sáb</v>
      </c>
      <c r="O7" s="23" t="str">
        <f>TEXT(WEEKDAY(DATE(AnoCalendário,8,13),1),"ddd")</f>
        <v>dom</v>
      </c>
      <c r="P7" s="23" t="str">
        <f>TEXT(WEEKDAY(DATE(AnoCalendário,8,14),1),"ddd")</f>
        <v>seg</v>
      </c>
      <c r="Q7" s="23" t="str">
        <f>TEXT(WEEKDAY(DATE(AnoCalendário,8,15),1),"ddd")</f>
        <v>ter</v>
      </c>
      <c r="R7" s="23" t="str">
        <f>TEXT(WEEKDAY(DATE(AnoCalendário,8,16),1),"ddd")</f>
        <v>qua</v>
      </c>
      <c r="S7" s="23" t="str">
        <f>TEXT(WEEKDAY(DATE(AnoCalendário,8,17),1),"ddd")</f>
        <v>qui</v>
      </c>
      <c r="T7" s="23" t="str">
        <f>TEXT(WEEKDAY(DATE(AnoCalendário,8,18),1),"ddd")</f>
        <v>sex</v>
      </c>
      <c r="U7" s="23" t="str">
        <f>TEXT(WEEKDAY(DATE(AnoCalendário,8,19),1),"ddd")</f>
        <v>sáb</v>
      </c>
      <c r="V7" s="23" t="str">
        <f>TEXT(WEEKDAY(DATE(AnoCalendário,8,20),1),"ddd")</f>
        <v>dom</v>
      </c>
      <c r="W7" s="23" t="str">
        <f>TEXT(WEEKDAY(DATE(AnoCalendário,8,21),1),"ddd")</f>
        <v>seg</v>
      </c>
      <c r="X7" s="23" t="str">
        <f>TEXT(WEEKDAY(DATE(AnoCalendário,8,22),1),"ddd")</f>
        <v>ter</v>
      </c>
      <c r="Y7" s="23" t="str">
        <f>TEXT(WEEKDAY(DATE(AnoCalendário,8,23),1),"ddd")</f>
        <v>qua</v>
      </c>
      <c r="Z7" s="23" t="str">
        <f>TEXT(WEEKDAY(DATE(AnoCalendário,8,24),1),"ddd")</f>
        <v>qui</v>
      </c>
      <c r="AA7" s="23" t="str">
        <f>TEXT(WEEKDAY(DATE(AnoCalendário,8,25),1),"ddd")</f>
        <v>sex</v>
      </c>
      <c r="AB7" s="23" t="str">
        <f>TEXT(WEEKDAY(DATE(AnoCalendário,8,26),1),"ddd")</f>
        <v>sáb</v>
      </c>
      <c r="AC7" s="23" t="str">
        <f>TEXT(WEEKDAY(DATE(AnoCalendário,8,27),1),"ddd")</f>
        <v>dom</v>
      </c>
      <c r="AD7" s="23" t="str">
        <f>TEXT(WEEKDAY(DATE(AnoCalendário,8,28),1),"ddd")</f>
        <v>seg</v>
      </c>
      <c r="AE7" s="23" t="str">
        <f>TEXT(WEEKDAY(DATE(AnoCalendário,8,29),1),"ddd")</f>
        <v>ter</v>
      </c>
      <c r="AF7" s="23" t="str">
        <f>TEXT(WEEKDAY(DATE(AnoCalendário,8,30),1),"ddd")</f>
        <v>qua</v>
      </c>
      <c r="AG7" s="23" t="str">
        <f>TEXT(WEEKDAY(DATE(AnoCalendário,8,31),1),"ddd")</f>
        <v>qui</v>
      </c>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COUNTA(Agosto[[#This Row],[1]:[31]])</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COUNTA(Agosto[[#This Row],[1]:[31]])</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COUNTA(Agosto[[#This Row],[1]:[31]])</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COUNTA(Agosto[[#This Row],[1]:[31]])</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COUNTA(Agosto[[#This Row],[1]:[31]])</f>
        <v>0</v>
      </c>
    </row>
    <row r="14" spans="2:34" ht="30" customHeight="1">
      <c r="B14" s="5" t="str">
        <f>NomeMês&amp;" Total"</f>
        <v>Agosto Total</v>
      </c>
      <c r="C14" s="4">
        <f>SUBTOTAL(103,Agosto[1])</f>
        <v>0</v>
      </c>
      <c r="D14" s="4">
        <f>SUBTOTAL(103,Agosto[2])</f>
        <v>0</v>
      </c>
      <c r="E14" s="4">
        <f>SUBTOTAL(103,Agosto[3])</f>
        <v>0</v>
      </c>
      <c r="F14" s="4">
        <f>SUBTOTAL(103,Agosto[4])</f>
        <v>0</v>
      </c>
      <c r="G14" s="4">
        <f>SUBTOTAL(103,Agosto[5])</f>
        <v>0</v>
      </c>
      <c r="H14" s="4">
        <f>SUBTOTAL(103,Agosto[6])</f>
        <v>0</v>
      </c>
      <c r="I14" s="4">
        <f>SUBTOTAL(103,Agosto[7])</f>
        <v>0</v>
      </c>
      <c r="J14" s="4">
        <f>SUBTOTAL(103,Agosto[8])</f>
        <v>0</v>
      </c>
      <c r="K14" s="4">
        <f>SUBTOTAL(103,Agosto[9])</f>
        <v>0</v>
      </c>
      <c r="L14" s="4">
        <f>SUBTOTAL(103,Agosto[10])</f>
        <v>0</v>
      </c>
      <c r="M14" s="4">
        <f>SUBTOTAL(103,Agosto[11])</f>
        <v>0</v>
      </c>
      <c r="N14" s="4">
        <f>SUBTOTAL(103,Agosto[12])</f>
        <v>0</v>
      </c>
      <c r="O14" s="4">
        <f>SUBTOTAL(103,Agosto[13])</f>
        <v>0</v>
      </c>
      <c r="P14" s="4">
        <f>SUBTOTAL(103,Agosto[14])</f>
        <v>0</v>
      </c>
      <c r="Q14" s="4">
        <f>SUBTOTAL(103,Agosto[15])</f>
        <v>0</v>
      </c>
      <c r="R14" s="4">
        <f>SUBTOTAL(103,Agosto[16])</f>
        <v>0</v>
      </c>
      <c r="S14" s="4">
        <f>SUBTOTAL(103,Agosto[17])</f>
        <v>0</v>
      </c>
      <c r="T14" s="4">
        <f>SUBTOTAL(103,Agosto[18])</f>
        <v>0</v>
      </c>
      <c r="U14" s="4">
        <f>SUBTOTAL(103,Agosto[19])</f>
        <v>0</v>
      </c>
      <c r="V14" s="4">
        <f>SUBTOTAL(103,Agosto[20])</f>
        <v>0</v>
      </c>
      <c r="W14" s="4">
        <f>SUBTOTAL(103,Agosto[21])</f>
        <v>0</v>
      </c>
      <c r="X14" s="4">
        <f>SUBTOTAL(103,Agosto[22])</f>
        <v>0</v>
      </c>
      <c r="Y14" s="4">
        <f>SUBTOTAL(103,Agosto[23])</f>
        <v>0</v>
      </c>
      <c r="Z14" s="4">
        <f>SUBTOTAL(103,Agosto[24])</f>
        <v>0</v>
      </c>
      <c r="AA14" s="4">
        <f>SUBTOTAL(103,Agosto[25])</f>
        <v>0</v>
      </c>
      <c r="AB14" s="4">
        <f>SUBTOTAL(103,Agosto[26])</f>
        <v>0</v>
      </c>
      <c r="AC14" s="4">
        <f>SUBTOTAL(103,Agosto[27])</f>
        <v>0</v>
      </c>
      <c r="AD14" s="4">
        <f>SUBTOTAL(103,Agosto[28])</f>
        <v>0</v>
      </c>
      <c r="AE14" s="4">
        <f>SUBTOTAL(103,Agosto[29])</f>
        <v>0</v>
      </c>
      <c r="AF14" s="4">
        <f>SUBTOTAL(109,Agosto[30])</f>
        <v>0</v>
      </c>
      <c r="AG14" s="4">
        <f>SUBTOTAL(109,Agosto[31])</f>
        <v>0</v>
      </c>
      <c r="AH14" s="4">
        <f>SUBTOTAL(109,Agosto[Total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369" priority="2" stopIfTrue="1">
      <formula>C9=ChavePersonalizada2</formula>
    </cfRule>
    <cfRule type="expression" dxfId="368" priority="3" stopIfTrue="1">
      <formula>C9=ChavePersonalizada1</formula>
    </cfRule>
    <cfRule type="expression" dxfId="367" priority="4" stopIfTrue="1">
      <formula>C9=ChaveLicençaMédica</formula>
    </cfRule>
    <cfRule type="expression" dxfId="366" priority="5" stopIfTrue="1">
      <formula>C9=ChavePessoal</formula>
    </cfRule>
    <cfRule type="expression" dxfId="365"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{09900229-9536-43AB-AAE0-FC121BDECD61}</x14:id>
        </ext>
      </extLst>
    </cfRule>
  </conditionalFormatting>
  <dataValidations count="15">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C31066D8-39EA-EB48-A883-D56040D3EA81}"/>
    <dataValidation allowBlank="1" showInputMessage="1" showErrorMessage="1" prompt="Ano atualizado automaticamente com base no ano inserido na planilha de janeiro." sqref="AH6" xr:uid="{4F3A1A67-5AD0-224A-B9EB-2AA94773859B}"/>
    <dataValidation allowBlank="1" showInputMessage="1" showErrorMessage="1" prompt="Calcula automaticamente o número total de dias em que um funcionário esteve ausente deste mês nesta coluna." sqref="AH8" xr:uid="{AC80500B-13F9-964F-8855-BCABB1C8AF13}"/>
    <dataValidation allowBlank="1" showInputMessage="1" showErrorMessage="1" prompt="Acompanhe as faltas de agosto nesta planilha." sqref="A1" xr:uid="{00000000-0002-0000-0700-000003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3B37E336-5BFF-874C-B045-F359DA78F99B}"/>
    <dataValidation allowBlank="1" showInputMessage="1" showErrorMessage="1" prompt="O título atualizado automaticamente está nesta célula. Para modificar o título, atualize B1 na planilha Janeiro." sqref="B2" xr:uid="{00000000-0002-0000-0700-000005000000}"/>
    <dataValidation allowBlank="1" showInputMessage="1" showErrorMessage="1" prompt="A letra &quot;F&quot; indica falta devido a férias." sqref="C4" xr:uid="{F48C7677-CB94-014F-B8C8-88FB8A294CFF}"/>
    <dataValidation allowBlank="1" showInputMessage="1" showErrorMessage="1" prompt="A letra &quot;P&quot; indica falta devido a motivos pessoais." sqref="G4" xr:uid="{63B459E7-42D5-4B48-B692-D0F49341AB9B}"/>
    <dataValidation allowBlank="1" showInputMessage="1" showErrorMessage="1" prompt="A letra &quot;L&quot; indica falta devido à licença médica." sqref="K4" xr:uid="{037577DF-4C4B-BA4C-A23D-EB4A1705B78B}"/>
    <dataValidation allowBlank="1" showInputMessage="1" showErrorMessage="1" prompt="Insira uma letra e personalize o rótulo à direita para adicionar outro item de chave." sqref="P4 U4" xr:uid="{ADD73E45-E7E5-5E43-8099-AF7C06C25726}"/>
    <dataValidation allowBlank="1" showInputMessage="1" showErrorMessage="1" prompt="Insira um rótulo para descrever a chave personalizada à esquerda." sqref="V4 Q4" xr:uid="{FB014BD1-5D10-9342-967F-5A90B982AACD}"/>
    <dataValidation allowBlank="1" showInputMessage="1" showErrorMessage="1" prompt="O nome do mês para essa agenda de faltas está nesta célula. Os totais de faltas deste mês estão na última célula da tabela. Selecione os nomes dos funcionários na tabela B." sqref="B2" xr:uid="{00000000-0002-0000-0700-00000C000000}"/>
    <dataValidation allowBlank="1" showInputMessage="1" showErrorMessage="1" prompt="Os dias do mês nesta linha são gerados automaticamente. Insira a falta e o tipo de falta de um funcionário em cada coluna de cada dia do mês. Espaço vazio significa sem faltas." sqref="C8" xr:uid="{ACF8EA0E-6010-5D46-9524-6055BFC9D4A3}"/>
    <dataValidation allowBlank="1" showInputMessage="1" showErrorMessage="1" prompt="Esta linha define as chaves utilizadas na tabela: a célula C4 é Férias, G4 é Pessoal e K4 é Licença médica. As células N4 e R4 são personalizáveis " sqref="B4" xr:uid="{2AD8EE52-D84F-4685-9E2E-4F8D1A731125}"/>
    <dataValidation allowBlank="1" showInputMessage="1" showErrorMessage="1" prompt="O título desta planilha está nesta célula. " sqref="B1" xr:uid="{3F261A71-5753-4B06-A7AE-03F6BBA4818C}"/>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09900229-9536-43AB-AAE0-FC121BDECD61}">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E000000}">
          <x14:formula1>
            <xm:f>'Nomes dos funcionários'!$B$4:$B$8</xm:f>
          </x14:formula1>
          <xm:sqref>B9:B13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7"/>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32" t="s">
        <v>60</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TEXT(WEEKDAY(DATE(AnoCalendário,9,1),1),"ddd")</f>
        <v>sex</v>
      </c>
      <c r="D7" s="23" t="str">
        <f>TEXT(WEEKDAY(DATE(AnoCalendário,9,2),1),"ddd")</f>
        <v>sáb</v>
      </c>
      <c r="E7" s="23" t="str">
        <f>TEXT(WEEKDAY(DATE(AnoCalendário,9,3),1),"ddd")</f>
        <v>dom</v>
      </c>
      <c r="F7" s="23" t="str">
        <f>TEXT(WEEKDAY(DATE(AnoCalendário,9,4),1),"ddd")</f>
        <v>seg</v>
      </c>
      <c r="G7" s="23" t="str">
        <f>TEXT(WEEKDAY(DATE(AnoCalendário,9,5),1),"ddd")</f>
        <v>ter</v>
      </c>
      <c r="H7" s="23" t="str">
        <f>TEXT(WEEKDAY(DATE(AnoCalendário,9,6),1),"ddd")</f>
        <v>qua</v>
      </c>
      <c r="I7" s="23" t="str">
        <f>TEXT(WEEKDAY(DATE(AnoCalendário,9,7),1),"ddd")</f>
        <v>qui</v>
      </c>
      <c r="J7" s="23" t="str">
        <f>TEXT(WEEKDAY(DATE(AnoCalendário,9,8),1),"ddd")</f>
        <v>sex</v>
      </c>
      <c r="K7" s="23" t="str">
        <f>TEXT(WEEKDAY(DATE(AnoCalendário,9,9),1),"ddd")</f>
        <v>sáb</v>
      </c>
      <c r="L7" s="23" t="str">
        <f>TEXT(WEEKDAY(DATE(AnoCalendário,9,10),1),"ddd")</f>
        <v>dom</v>
      </c>
      <c r="M7" s="23" t="str">
        <f>TEXT(WEEKDAY(DATE(AnoCalendário,9,11),1),"ddd")</f>
        <v>seg</v>
      </c>
      <c r="N7" s="23" t="str">
        <f>TEXT(WEEKDAY(DATE(AnoCalendário,9,12),1),"ddd")</f>
        <v>ter</v>
      </c>
      <c r="O7" s="23" t="str">
        <f>TEXT(WEEKDAY(DATE(AnoCalendário,9,13),1),"ddd")</f>
        <v>qua</v>
      </c>
      <c r="P7" s="23" t="str">
        <f>TEXT(WEEKDAY(DATE(AnoCalendário,9,14),1),"ddd")</f>
        <v>qui</v>
      </c>
      <c r="Q7" s="23" t="str">
        <f>TEXT(WEEKDAY(DATE(AnoCalendário,9,15),1),"ddd")</f>
        <v>sex</v>
      </c>
      <c r="R7" s="23" t="str">
        <f>TEXT(WEEKDAY(DATE(AnoCalendário,9,16),1),"ddd")</f>
        <v>sáb</v>
      </c>
      <c r="S7" s="23" t="str">
        <f>TEXT(WEEKDAY(DATE(AnoCalendário,9,17),1),"ddd")</f>
        <v>dom</v>
      </c>
      <c r="T7" s="23" t="str">
        <f>TEXT(WEEKDAY(DATE(AnoCalendário,9,18),1),"ddd")</f>
        <v>seg</v>
      </c>
      <c r="U7" s="23" t="str">
        <f>TEXT(WEEKDAY(DATE(AnoCalendário,9,19),1),"ddd")</f>
        <v>ter</v>
      </c>
      <c r="V7" s="23" t="str">
        <f>TEXT(WEEKDAY(DATE(AnoCalendário,9,20),1),"ddd")</f>
        <v>qua</v>
      </c>
      <c r="W7" s="23" t="str">
        <f>TEXT(WEEKDAY(DATE(AnoCalendário,9,21),1),"ddd")</f>
        <v>qui</v>
      </c>
      <c r="X7" s="23" t="str">
        <f>TEXT(WEEKDAY(DATE(AnoCalendário,9,22),1),"ddd")</f>
        <v>sex</v>
      </c>
      <c r="Y7" s="23" t="str">
        <f>TEXT(WEEKDAY(DATE(AnoCalendário,9,23),1),"ddd")</f>
        <v>sáb</v>
      </c>
      <c r="Z7" s="23" t="str">
        <f>TEXT(WEEKDAY(DATE(AnoCalendário,9,24),1),"ddd")</f>
        <v>dom</v>
      </c>
      <c r="AA7" s="23" t="str">
        <f>TEXT(WEEKDAY(DATE(AnoCalendário,9,25),1),"ddd")</f>
        <v>seg</v>
      </c>
      <c r="AB7" s="23" t="str">
        <f>TEXT(WEEKDAY(DATE(AnoCalendário,9,26),1),"ddd")</f>
        <v>ter</v>
      </c>
      <c r="AC7" s="23" t="str">
        <f>TEXT(WEEKDAY(DATE(AnoCalendário,9,27),1),"ddd")</f>
        <v>qua</v>
      </c>
      <c r="AD7" s="23" t="str">
        <f>TEXT(WEEKDAY(DATE(AnoCalendário,9,28),1),"ddd")</f>
        <v>qui</v>
      </c>
      <c r="AE7" s="23" t="str">
        <f>TEXT(WEEKDAY(DATE(AnoCalendário,9,29),1),"ddd")</f>
        <v>sex</v>
      </c>
      <c r="AF7" s="23" t="str">
        <f>TEXT(WEEKDAY(DATE(AnoCalendário,9,30),1),"ddd")</f>
        <v>sáb</v>
      </c>
      <c r="AG7" s="23"/>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52</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COUNTA(Setembro[[#This Row],[1]:[ ]])</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COUNTA(Setembro[[#This Row],[1]:[ ]])</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COUNTA(Setembro[[#This Row],[1]:[ ]])</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COUNTA(Setembro[[#This Row],[1]:[ ]])</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COUNTA(Setembro[[#This Row],[1]:[ ]])</f>
        <v>0</v>
      </c>
    </row>
    <row r="14" spans="2:34" ht="30" customHeight="1">
      <c r="B14" s="5" t="str">
        <f>NomeMês&amp;" Total"</f>
        <v>Setembro Total</v>
      </c>
      <c r="C14" s="4">
        <f>SUBTOTAL(103,Setembro[1])</f>
        <v>0</v>
      </c>
      <c r="D14" s="4">
        <f>SUBTOTAL(103,Setembro[2])</f>
        <v>0</v>
      </c>
      <c r="E14" s="4">
        <f>SUBTOTAL(103,Setembro[3])</f>
        <v>0</v>
      </c>
      <c r="F14" s="4">
        <f>SUBTOTAL(103,Setembro[4])</f>
        <v>0</v>
      </c>
      <c r="G14" s="4">
        <f>SUBTOTAL(103,Setembro[5])</f>
        <v>0</v>
      </c>
      <c r="H14" s="4">
        <f>SUBTOTAL(103,Setembro[6])</f>
        <v>0</v>
      </c>
      <c r="I14" s="4">
        <f>SUBTOTAL(103,Setembro[7])</f>
        <v>0</v>
      </c>
      <c r="J14" s="4">
        <f>SUBTOTAL(103,Setembro[8])</f>
        <v>0</v>
      </c>
      <c r="K14" s="4">
        <f>SUBTOTAL(103,Setembro[9])</f>
        <v>0</v>
      </c>
      <c r="L14" s="4">
        <f>SUBTOTAL(103,Setembro[10])</f>
        <v>0</v>
      </c>
      <c r="M14" s="4">
        <f>SUBTOTAL(103,Setembro[11])</f>
        <v>0</v>
      </c>
      <c r="N14" s="4">
        <f>SUBTOTAL(103,Setembro[12])</f>
        <v>0</v>
      </c>
      <c r="O14" s="4">
        <f>SUBTOTAL(103,Setembro[13])</f>
        <v>0</v>
      </c>
      <c r="P14" s="4">
        <f>SUBTOTAL(103,Setembro[14])</f>
        <v>0</v>
      </c>
      <c r="Q14" s="4">
        <f>SUBTOTAL(103,Setembro[15])</f>
        <v>0</v>
      </c>
      <c r="R14" s="4">
        <f>SUBTOTAL(103,Setembro[16])</f>
        <v>0</v>
      </c>
      <c r="S14" s="4">
        <f>SUBTOTAL(103,Setembro[17])</f>
        <v>0</v>
      </c>
      <c r="T14" s="4">
        <f>SUBTOTAL(103,Setembro[18])</f>
        <v>0</v>
      </c>
      <c r="U14" s="4">
        <f>SUBTOTAL(103,Setembro[19])</f>
        <v>0</v>
      </c>
      <c r="V14" s="4">
        <f>SUBTOTAL(103,Setembro[20])</f>
        <v>0</v>
      </c>
      <c r="W14" s="4">
        <f>SUBTOTAL(103,Setembro[21])</f>
        <v>0</v>
      </c>
      <c r="X14" s="4">
        <f>SUBTOTAL(103,Setembro[22])</f>
        <v>0</v>
      </c>
      <c r="Y14" s="4">
        <f>SUBTOTAL(103,Setembro[23])</f>
        <v>0</v>
      </c>
      <c r="Z14" s="4">
        <f>SUBTOTAL(103,Setembro[24])</f>
        <v>0</v>
      </c>
      <c r="AA14" s="4">
        <f>SUBTOTAL(103,Setembro[25])</f>
        <v>0</v>
      </c>
      <c r="AB14" s="4">
        <f>SUBTOTAL(103,Setembro[26])</f>
        <v>0</v>
      </c>
      <c r="AC14" s="4">
        <f>SUBTOTAL(103,Setembro[27])</f>
        <v>0</v>
      </c>
      <c r="AD14" s="4">
        <f>SUBTOTAL(103,Setembro[28])</f>
        <v>0</v>
      </c>
      <c r="AE14" s="4">
        <f>SUBTOTAL(103,Setembro[29])</f>
        <v>0</v>
      </c>
      <c r="AF14" s="4">
        <f>SUBTOTAL(109,Setembro[30])</f>
        <v>0</v>
      </c>
      <c r="AG14" s="4">
        <f>SUBTOTAL(109,Setembro[[ ]])</f>
        <v>0</v>
      </c>
      <c r="AH14" s="4">
        <f>SUBTOTAL(109,Setembro[Total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295" priority="2" stopIfTrue="1">
      <formula>C9=ChavePersonalizada2</formula>
    </cfRule>
    <cfRule type="expression" dxfId="294" priority="3" stopIfTrue="1">
      <formula>C9=ChavePersonalizada1</formula>
    </cfRule>
    <cfRule type="expression" dxfId="293" priority="4" stopIfTrue="1">
      <formula>C9=ChaveLicençaMédica</formula>
    </cfRule>
    <cfRule type="expression" dxfId="292" priority="5" stopIfTrue="1">
      <formula>C9=ChavePessoal</formula>
    </cfRule>
    <cfRule type="expression" dxfId="291"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{1A021984-06A1-41D9-90D2-8C16E885020B}</x14:id>
        </ext>
      </extLst>
    </cfRule>
  </conditionalFormatting>
  <dataValidations count="15">
    <dataValidation allowBlank="1" showInputMessage="1" showErrorMessage="1" prompt="Os dias do mês nesta linha são gerados automaticamente. Insira a falta e o tipo de falta de um funcionário em cada coluna de cada dia do mês. Espaço vazio significa sem faltas." sqref="C8" xr:uid="{9DDE2A21-51EA-3649-A2EE-B04BD18F4ABA}"/>
    <dataValidation allowBlank="1" showInputMessage="1" showErrorMessage="1" prompt="O nome do mês para essa agenda de faltas está nesta célula. Os totais de faltas deste mês estão na última célula da tabela. Selecione os nomes dos funcionários na tabela B." sqref="B2" xr:uid="{00000000-0002-0000-0800-000001000000}"/>
    <dataValidation allowBlank="1" showInputMessage="1" showErrorMessage="1" prompt="Insira um rótulo para descrever a chave personalizada à esquerda." sqref="V4 Q4" xr:uid="{5116644F-0501-8B49-8158-4564676A664E}"/>
    <dataValidation allowBlank="1" showInputMessage="1" showErrorMessage="1" prompt="Insira uma letra e personalize o rótulo à direita para adicionar outro item de chave." sqref="P4 U4" xr:uid="{58CFE273-C075-BB40-8F28-5FCC44B7E3A3}"/>
    <dataValidation allowBlank="1" showInputMessage="1" showErrorMessage="1" prompt="A letra &quot;L&quot; indica falta devido à licença médica." sqref="K4" xr:uid="{EEC4FBAF-1EBD-4C4D-9809-847842EA837E}"/>
    <dataValidation allowBlank="1" showInputMessage="1" showErrorMessage="1" prompt="A letra &quot;P&quot; indica falta devido a motivos pessoais." sqref="G4" xr:uid="{846A0B75-93D1-0640-8A7F-0B42F6009C81}"/>
    <dataValidation allowBlank="1" showInputMessage="1" showErrorMessage="1" prompt="A letra &quot;F&quot; indica falta devido a férias." sqref="C4" xr:uid="{286BFB05-7A4F-C140-BF05-59F3E17D85F5}"/>
    <dataValidation allowBlank="1" showInputMessage="1" showErrorMessage="1" prompt="O título atualizado automaticamente está nesta célula. Para modificar o título, atualize B1 na planilha Janeiro." sqref="B2" xr:uid="{00000000-0002-0000-0800-000008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C813148F-9330-314A-8F3F-150F6150691C}"/>
    <dataValidation allowBlank="1" showInputMessage="1" showErrorMessage="1" prompt="Acompanhe as faltas de setembro nesta planilha." sqref="A1" xr:uid="{00000000-0002-0000-0800-00000A000000}"/>
    <dataValidation allowBlank="1" showInputMessage="1" showErrorMessage="1" prompt="Calcula automaticamente o número total de dias em que um funcionário esteve ausente deste mês nesta coluna." sqref="AH8" xr:uid="{5C77DC9E-A1AE-7C41-B518-6426DAF8D1EE}"/>
    <dataValidation allowBlank="1" showInputMessage="1" showErrorMessage="1" prompt="Ano atualizado automaticamente com base no ano inserido na planilha de janeiro." sqref="AH6" xr:uid="{075296AD-6F4A-1446-94E5-CA2E94C7BFCE}"/>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D85777C8-14EB-B748-8BBD-8B9BF124E384}"/>
    <dataValidation allowBlank="1" showInputMessage="1" showErrorMessage="1" prompt="Esta linha define as chaves utilizadas na tabela: a célula C4 é Férias, G4 é Pessoal e K4 é Licença médica. As células N4 e R4 são personalizáveis " sqref="B4" xr:uid="{258809B3-02AD-47F3-A0C7-61BAF9DAB51A}"/>
    <dataValidation allowBlank="1" showInputMessage="1" showErrorMessage="1" prompt="O título desta planilha está nesta célula. " sqref="B1" xr:uid="{EDB7A32F-2F43-4B5F-BF9B-69D720D668DD}"/>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1A021984-06A1-41D9-90D2-8C16E885020B}">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E000000}">
          <x14:formula1>
            <xm:f>'Nomes dos funcionários'!$B$4:$B$8</xm:f>
          </x14:formula1>
          <xm:sqref>B9:B13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7"/>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32" t="s">
        <v>61</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TEXT(WEEKDAY(DATE(AnoCalendário,10,1),1),"ddd")</f>
        <v>dom</v>
      </c>
      <c r="D7" s="23" t="str">
        <f>TEXT(WEEKDAY(DATE(AnoCalendário,10,2),1),"ddd")</f>
        <v>seg</v>
      </c>
      <c r="E7" s="23" t="str">
        <f>TEXT(WEEKDAY(DATE(AnoCalendário,10,3),1),"ddd")</f>
        <v>ter</v>
      </c>
      <c r="F7" s="23" t="str">
        <f>TEXT(WEEKDAY(DATE(AnoCalendário,10,4),1),"ddd")</f>
        <v>qua</v>
      </c>
      <c r="G7" s="23" t="str">
        <f>TEXT(WEEKDAY(DATE(AnoCalendário,10,5),1),"ddd")</f>
        <v>qui</v>
      </c>
      <c r="H7" s="23" t="str">
        <f>TEXT(WEEKDAY(DATE(AnoCalendário,10,6),1),"ddd")</f>
        <v>sex</v>
      </c>
      <c r="I7" s="23" t="str">
        <f>TEXT(WEEKDAY(DATE(AnoCalendário,10,7),1),"ddd")</f>
        <v>sáb</v>
      </c>
      <c r="J7" s="23" t="str">
        <f>TEXT(WEEKDAY(DATE(AnoCalendário,10,8),1),"ddd")</f>
        <v>dom</v>
      </c>
      <c r="K7" s="23" t="str">
        <f>TEXT(WEEKDAY(DATE(AnoCalendário,10,9),1),"ddd")</f>
        <v>seg</v>
      </c>
      <c r="L7" s="23" t="str">
        <f>TEXT(WEEKDAY(DATE(AnoCalendário,10,10),1),"ddd")</f>
        <v>ter</v>
      </c>
      <c r="M7" s="23" t="str">
        <f>TEXT(WEEKDAY(DATE(AnoCalendário,10,11),1),"ddd")</f>
        <v>qua</v>
      </c>
      <c r="N7" s="23" t="str">
        <f>TEXT(WEEKDAY(DATE(AnoCalendário,10,12),1),"ddd")</f>
        <v>qui</v>
      </c>
      <c r="O7" s="23" t="str">
        <f>TEXT(WEEKDAY(DATE(AnoCalendário,10,13),1),"ddd")</f>
        <v>sex</v>
      </c>
      <c r="P7" s="23" t="str">
        <f>TEXT(WEEKDAY(DATE(AnoCalendário,10,14),1),"ddd")</f>
        <v>sáb</v>
      </c>
      <c r="Q7" s="23" t="str">
        <f>TEXT(WEEKDAY(DATE(AnoCalendário,10,15),1),"ddd")</f>
        <v>dom</v>
      </c>
      <c r="R7" s="23" t="str">
        <f>TEXT(WEEKDAY(DATE(AnoCalendário,10,16),1),"ddd")</f>
        <v>seg</v>
      </c>
      <c r="S7" s="23" t="str">
        <f>TEXT(WEEKDAY(DATE(AnoCalendário,10,17),1),"ddd")</f>
        <v>ter</v>
      </c>
      <c r="T7" s="23" t="str">
        <f>TEXT(WEEKDAY(DATE(AnoCalendário,10,18),1),"ddd")</f>
        <v>qua</v>
      </c>
      <c r="U7" s="23" t="str">
        <f>TEXT(WEEKDAY(DATE(AnoCalendário,10,19),1),"ddd")</f>
        <v>qui</v>
      </c>
      <c r="V7" s="23" t="str">
        <f>TEXT(WEEKDAY(DATE(AnoCalendário,10,20),1),"ddd")</f>
        <v>sex</v>
      </c>
      <c r="W7" s="23" t="str">
        <f>TEXT(WEEKDAY(DATE(AnoCalendário,10,21),1),"ddd")</f>
        <v>sáb</v>
      </c>
      <c r="X7" s="23" t="str">
        <f>TEXT(WEEKDAY(DATE(AnoCalendário,10,22),1),"ddd")</f>
        <v>dom</v>
      </c>
      <c r="Y7" s="23" t="str">
        <f>TEXT(WEEKDAY(DATE(AnoCalendário,10,23),1),"ddd")</f>
        <v>seg</v>
      </c>
      <c r="Z7" s="23" t="str">
        <f>TEXT(WEEKDAY(DATE(AnoCalendário,10,24),1),"ddd")</f>
        <v>ter</v>
      </c>
      <c r="AA7" s="23" t="str">
        <f>TEXT(WEEKDAY(DATE(AnoCalendário,10,25),1),"ddd")</f>
        <v>qua</v>
      </c>
      <c r="AB7" s="23" t="str">
        <f>TEXT(WEEKDAY(DATE(AnoCalendário,10,26),1),"ddd")</f>
        <v>qui</v>
      </c>
      <c r="AC7" s="23" t="str">
        <f>TEXT(WEEKDAY(DATE(AnoCalendário,10,27),1),"ddd")</f>
        <v>sex</v>
      </c>
      <c r="AD7" s="23" t="str">
        <f>TEXT(WEEKDAY(DATE(AnoCalendário,10,28),1),"ddd")</f>
        <v>sáb</v>
      </c>
      <c r="AE7" s="23" t="str">
        <f>TEXT(WEEKDAY(DATE(AnoCalendário,10,29),1),"ddd")</f>
        <v>dom</v>
      </c>
      <c r="AF7" s="23" t="str">
        <f>TEXT(WEEKDAY(DATE(AnoCalendário,10,30),1),"ddd")</f>
        <v>seg</v>
      </c>
      <c r="AG7" s="23" t="str">
        <f>TEXT(WEEKDAY(DATE(AnoCalendário,10,31),1),"ddd")</f>
        <v>ter</v>
      </c>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COUNTA(Outubro[[#This Row],[1]:[31]])</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COUNTA(Outubro[[#This Row],[1]:[31]])</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COUNTA(Outubro[[#This Row],[1]:[31]])</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COUNTA(Outubro[[#This Row],[1]:[31]])</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COUNTA(Outubro[[#This Row],[1]:[31]])</f>
        <v>0</v>
      </c>
    </row>
    <row r="14" spans="2:34" ht="30" customHeight="1">
      <c r="B14" s="5" t="str">
        <f>NomeMês&amp;" Total"</f>
        <v>Outubro Total</v>
      </c>
      <c r="C14" s="4">
        <f>SUBTOTAL(103,Outubro[1])</f>
        <v>0</v>
      </c>
      <c r="D14" s="4">
        <f>SUBTOTAL(103,Outubro[2])</f>
        <v>0</v>
      </c>
      <c r="E14" s="4">
        <f>SUBTOTAL(103,Outubro[3])</f>
        <v>0</v>
      </c>
      <c r="F14" s="4">
        <f>SUBTOTAL(103,Outubro[4])</f>
        <v>0</v>
      </c>
      <c r="G14" s="4">
        <f>SUBTOTAL(103,Outubro[5])</f>
        <v>0</v>
      </c>
      <c r="H14" s="4">
        <f>SUBTOTAL(103,Outubro[6])</f>
        <v>0</v>
      </c>
      <c r="I14" s="4">
        <f>SUBTOTAL(103,Outubro[7])</f>
        <v>0</v>
      </c>
      <c r="J14" s="4">
        <f>SUBTOTAL(103,Outubro[8])</f>
        <v>0</v>
      </c>
      <c r="K14" s="4">
        <f>SUBTOTAL(103,Outubro[9])</f>
        <v>0</v>
      </c>
      <c r="L14" s="4">
        <f>SUBTOTAL(103,Outubro[10])</f>
        <v>0</v>
      </c>
      <c r="M14" s="4">
        <f>SUBTOTAL(103,Outubro[11])</f>
        <v>0</v>
      </c>
      <c r="N14" s="4">
        <f>SUBTOTAL(103,Outubro[12])</f>
        <v>0</v>
      </c>
      <c r="O14" s="4">
        <f>SUBTOTAL(103,Outubro[13])</f>
        <v>0</v>
      </c>
      <c r="P14" s="4">
        <f>SUBTOTAL(103,Outubro[14])</f>
        <v>0</v>
      </c>
      <c r="Q14" s="4">
        <f>SUBTOTAL(103,Outubro[15])</f>
        <v>0</v>
      </c>
      <c r="R14" s="4">
        <f>SUBTOTAL(103,Outubro[16])</f>
        <v>0</v>
      </c>
      <c r="S14" s="4">
        <f>SUBTOTAL(103,Outubro[17])</f>
        <v>0</v>
      </c>
      <c r="T14" s="4">
        <f>SUBTOTAL(103,Outubro[18])</f>
        <v>0</v>
      </c>
      <c r="U14" s="4">
        <f>SUBTOTAL(103,Outubro[19])</f>
        <v>0</v>
      </c>
      <c r="V14" s="4">
        <f>SUBTOTAL(103,Outubro[20])</f>
        <v>0</v>
      </c>
      <c r="W14" s="4">
        <f>SUBTOTAL(103,Outubro[21])</f>
        <v>0</v>
      </c>
      <c r="X14" s="4">
        <f>SUBTOTAL(103,Outubro[22])</f>
        <v>0</v>
      </c>
      <c r="Y14" s="4">
        <f>SUBTOTAL(103,Outubro[23])</f>
        <v>0</v>
      </c>
      <c r="Z14" s="4">
        <f>SUBTOTAL(103,Outubro[24])</f>
        <v>0</v>
      </c>
      <c r="AA14" s="4">
        <f>SUBTOTAL(103,Outubro[25])</f>
        <v>0</v>
      </c>
      <c r="AB14" s="4">
        <f>SUBTOTAL(103,Outubro[26])</f>
        <v>0</v>
      </c>
      <c r="AC14" s="4">
        <f>SUBTOTAL(103,Outubro[27])</f>
        <v>0</v>
      </c>
      <c r="AD14" s="4">
        <f>SUBTOTAL(103,Outubro[28])</f>
        <v>0</v>
      </c>
      <c r="AE14" s="4">
        <f>SUBTOTAL(103,Outubro[29])</f>
        <v>0</v>
      </c>
      <c r="AF14" s="4">
        <f>SUBTOTAL(109,Outubro[30])</f>
        <v>0</v>
      </c>
      <c r="AG14" s="4">
        <f>SUBTOTAL(109,Outubro[31])</f>
        <v>0</v>
      </c>
      <c r="AH14" s="4">
        <f>SUBTOTAL(109,Outubro[Total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221" priority="2" stopIfTrue="1">
      <formula>C9=ChavePersonalizada2</formula>
    </cfRule>
    <cfRule type="expression" dxfId="220" priority="3" stopIfTrue="1">
      <formula>C9=ChavePersonalizada1</formula>
    </cfRule>
    <cfRule type="expression" dxfId="219" priority="4" stopIfTrue="1">
      <formula>C9=ChaveLicençaMédica</formula>
    </cfRule>
    <cfRule type="expression" dxfId="218" priority="5" stopIfTrue="1">
      <formula>C9=ChavePessoal</formula>
    </cfRule>
    <cfRule type="expression" dxfId="217"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{F32A08EA-50E8-4B5F-AB1F-5A7739FBC16C}</x14:id>
        </ext>
      </extLst>
    </cfRule>
  </conditionalFormatting>
  <dataValidations count="14">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6C3B7250-7883-E447-A5BD-190F9EC85610}"/>
    <dataValidation allowBlank="1" showInputMessage="1" showErrorMessage="1" prompt="Ano atualizado automaticamente com base no ano inserido na planilha de janeiro." sqref="AH6" xr:uid="{856FAEF4-8645-3447-91CD-944E3DA437F4}"/>
    <dataValidation allowBlank="1" showInputMessage="1" showErrorMessage="1" prompt="Calcula automaticamente o número total de dias em que um funcionário esteve ausente deste mês nesta coluna." sqref="AH8" xr:uid="{460C2673-D90D-514F-89AA-D6D7BDC2B7D4}"/>
    <dataValidation allowBlank="1" showInputMessage="1" showErrorMessage="1" prompt="Acompanhe as faltas de outubro nesta planilha." sqref="A1" xr:uid="{00000000-0002-0000-0900-000003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44EADDEC-C0C0-D348-A864-4940BC2D178C}"/>
    <dataValidation allowBlank="1" showInputMessage="1" showErrorMessage="1" prompt="A letra &quot;F&quot; indica falta devido a férias." sqref="C4" xr:uid="{8AFA64B3-CA12-D746-A7DF-89EF58BCE3D5}"/>
    <dataValidation allowBlank="1" showInputMessage="1" showErrorMessage="1" prompt="A letra &quot;P&quot; indica falta devido a motivos pessoais." sqref="G4" xr:uid="{3B7999AA-167A-CE4C-8796-899AE23635AB}"/>
    <dataValidation allowBlank="1" showInputMessage="1" showErrorMessage="1" prompt="A letra &quot;L&quot; indica falta devido à licença médica." sqref="K4" xr:uid="{1B40AE04-6602-1B4B-831F-DE91BF80E5BA}"/>
    <dataValidation allowBlank="1" showInputMessage="1" showErrorMessage="1" prompt="Insira uma letra e personalize o rótulo à direita para adicionar outro item de chave." sqref="P4 U4" xr:uid="{E244B439-C378-D64B-B39B-3ECAC0628D41}"/>
    <dataValidation allowBlank="1" showInputMessage="1" showErrorMessage="1" prompt="Insira um rótulo para descrever a chave personalizada à esquerda." sqref="V4 Q4" xr:uid="{8092AE17-9B79-B44F-87F7-9F40BB2047F6}"/>
    <dataValidation allowBlank="1" showInputMessage="1" showErrorMessage="1" prompt="O nome do mês para essa agenda de faltas está nesta célula. Os totais de faltas deste mês estão na última célula da tabela. Selecione os nomes dos funcionários na tabela B." sqref="B2" xr:uid="{00000000-0002-0000-0900-00000C000000}"/>
    <dataValidation allowBlank="1" showInputMessage="1" showErrorMessage="1" prompt="Os dias do mês nesta linha são gerados automaticamente. Insira a falta e o tipo de falta de um funcionário em cada coluna de cada dia do mês. Espaço vazio significa sem faltas." sqref="C8" xr:uid="{E2589F34-72AD-7946-9C30-9FD4409BBCB4}"/>
    <dataValidation allowBlank="1" showInputMessage="1" showErrorMessage="1" prompt="Esta linha define as chaves utilizadas na tabela: a célula C4 é Férias, G4 é Pessoal e K4 é Licença médica. As células N4 e R4 são personalizáveis " sqref="B4" xr:uid="{64951AAF-92FB-44AB-A8AD-B37C0B2DD08A}"/>
    <dataValidation allowBlank="1" showInputMessage="1" showErrorMessage="1" prompt="O título desta planilha está nesta célula. " sqref="B1" xr:uid="{1C12649E-FD35-4288-A6DD-5F40186B166C}"/>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F32A08EA-50E8-4B5F-AB1F-5A7739FBC16C}">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E000000}">
          <x14:formula1>
            <xm:f>'Nomes dos funcionários'!$B$4:$B$8</xm:f>
          </x14:formula1>
          <xm:sqref>B9:B13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7"/>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32" t="s">
        <v>62</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TEXT(WEEKDAY(DATE(AnoCalendário,11,1),1),"ddd")</f>
        <v>qua</v>
      </c>
      <c r="D7" s="23" t="str">
        <f>TEXT(WEEKDAY(DATE(AnoCalendário,11,2),1),"ddd")</f>
        <v>qui</v>
      </c>
      <c r="E7" s="23" t="str">
        <f>TEXT(WEEKDAY(DATE(AnoCalendário,11,3),1),"ddd")</f>
        <v>sex</v>
      </c>
      <c r="F7" s="23" t="str">
        <f>TEXT(WEEKDAY(DATE(AnoCalendário,11,4),1),"ddd")</f>
        <v>sáb</v>
      </c>
      <c r="G7" s="23" t="str">
        <f>TEXT(WEEKDAY(DATE(AnoCalendário,11,5),1),"ddd")</f>
        <v>dom</v>
      </c>
      <c r="H7" s="23" t="str">
        <f>TEXT(WEEKDAY(DATE(AnoCalendário,11,6),1),"ddd")</f>
        <v>seg</v>
      </c>
      <c r="I7" s="23" t="str">
        <f>TEXT(WEEKDAY(DATE(AnoCalendário,11,7),1),"ddd")</f>
        <v>ter</v>
      </c>
      <c r="J7" s="23" t="str">
        <f>TEXT(WEEKDAY(DATE(AnoCalendário,11,8),1),"ddd")</f>
        <v>qua</v>
      </c>
      <c r="K7" s="23" t="str">
        <f>TEXT(WEEKDAY(DATE(AnoCalendário,11,9),1),"ddd")</f>
        <v>qui</v>
      </c>
      <c r="L7" s="23" t="str">
        <f>TEXT(WEEKDAY(DATE(AnoCalendário,11,10),1),"ddd")</f>
        <v>sex</v>
      </c>
      <c r="M7" s="23" t="str">
        <f>TEXT(WEEKDAY(DATE(AnoCalendário,11,11),1),"ddd")</f>
        <v>sáb</v>
      </c>
      <c r="N7" s="23" t="str">
        <f>TEXT(WEEKDAY(DATE(AnoCalendário,11,12),1),"ddd")</f>
        <v>dom</v>
      </c>
      <c r="O7" s="23" t="str">
        <f>TEXT(WEEKDAY(DATE(AnoCalendário,11,13),1),"ddd")</f>
        <v>seg</v>
      </c>
      <c r="P7" s="23" t="str">
        <f>TEXT(WEEKDAY(DATE(AnoCalendário,11,14),1),"ddd")</f>
        <v>ter</v>
      </c>
      <c r="Q7" s="23" t="str">
        <f>TEXT(WEEKDAY(DATE(AnoCalendário,11,15),1),"ddd")</f>
        <v>qua</v>
      </c>
      <c r="R7" s="23" t="str">
        <f>TEXT(WEEKDAY(DATE(AnoCalendário,11,16),1),"ddd")</f>
        <v>qui</v>
      </c>
      <c r="S7" s="23" t="str">
        <f>TEXT(WEEKDAY(DATE(AnoCalendário,11,17),1),"ddd")</f>
        <v>sex</v>
      </c>
      <c r="T7" s="23" t="str">
        <f>TEXT(WEEKDAY(DATE(AnoCalendário,11,18),1),"ddd")</f>
        <v>sáb</v>
      </c>
      <c r="U7" s="23" t="str">
        <f>TEXT(WEEKDAY(DATE(AnoCalendário,11,19),1),"ddd")</f>
        <v>dom</v>
      </c>
      <c r="V7" s="23" t="str">
        <f>TEXT(WEEKDAY(DATE(AnoCalendário,11,20),1),"ddd")</f>
        <v>seg</v>
      </c>
      <c r="W7" s="23" t="str">
        <f>TEXT(WEEKDAY(DATE(AnoCalendário,11,21),1),"ddd")</f>
        <v>ter</v>
      </c>
      <c r="X7" s="23" t="str">
        <f>TEXT(WEEKDAY(DATE(AnoCalendário,11,22),1),"ddd")</f>
        <v>qua</v>
      </c>
      <c r="Y7" s="23" t="str">
        <f>TEXT(WEEKDAY(DATE(AnoCalendário,11,23),1),"ddd")</f>
        <v>qui</v>
      </c>
      <c r="Z7" s="23" t="str">
        <f>TEXT(WEEKDAY(DATE(AnoCalendário,11,24),1),"ddd")</f>
        <v>sex</v>
      </c>
      <c r="AA7" s="23" t="str">
        <f>TEXT(WEEKDAY(DATE(AnoCalendário,11,25),1),"ddd")</f>
        <v>sáb</v>
      </c>
      <c r="AB7" s="23" t="str">
        <f>TEXT(WEEKDAY(DATE(AnoCalendário,11,26),1),"ddd")</f>
        <v>dom</v>
      </c>
      <c r="AC7" s="23" t="str">
        <f>TEXT(WEEKDAY(DATE(AnoCalendário,11,27),1),"ddd")</f>
        <v>seg</v>
      </c>
      <c r="AD7" s="23" t="str">
        <f>TEXT(WEEKDAY(DATE(AnoCalendário,11,28),1),"ddd")</f>
        <v>ter</v>
      </c>
      <c r="AE7" s="23" t="str">
        <f>TEXT(WEEKDAY(DATE(AnoCalendário,11,29),1),"ddd")</f>
        <v>qua</v>
      </c>
      <c r="AF7" s="23" t="str">
        <f>TEXT(WEEKDAY(DATE(AnoCalendário,11,30),1),"ddd")</f>
        <v>qui</v>
      </c>
      <c r="AG7" s="23"/>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52</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COUNTA(Novembro[[#This Row],[1]:[ ]])</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COUNTA(Novembro[[#This Row],[1]:[ ]])</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COUNTA(Novembro[[#This Row],[1]:[ ]])</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COUNTA(Novembro[[#This Row],[1]:[ ]])</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COUNTA(Novembro[[#This Row],[1]:[ ]])</f>
        <v>0</v>
      </c>
    </row>
    <row r="14" spans="2:34" ht="30" customHeight="1">
      <c r="B14" s="5" t="str">
        <f>NomeMês&amp;" Total"</f>
        <v>Novembro Total</v>
      </c>
      <c r="C14" s="4">
        <f>SUBTOTAL(103,Novembro[1])</f>
        <v>0</v>
      </c>
      <c r="D14" s="4">
        <f>SUBTOTAL(103,Novembro[2])</f>
        <v>0</v>
      </c>
      <c r="E14" s="4">
        <f>SUBTOTAL(103,Novembro[3])</f>
        <v>0</v>
      </c>
      <c r="F14" s="4">
        <f>SUBTOTAL(103,Novembro[4])</f>
        <v>0</v>
      </c>
      <c r="G14" s="4">
        <f>SUBTOTAL(103,Novembro[5])</f>
        <v>0</v>
      </c>
      <c r="H14" s="4">
        <f>SUBTOTAL(103,Novembro[6])</f>
        <v>0</v>
      </c>
      <c r="I14" s="4">
        <f>SUBTOTAL(103,Novembro[7])</f>
        <v>0</v>
      </c>
      <c r="J14" s="4">
        <f>SUBTOTAL(103,Novembro[8])</f>
        <v>0</v>
      </c>
      <c r="K14" s="4">
        <f>SUBTOTAL(103,Novembro[9])</f>
        <v>0</v>
      </c>
      <c r="L14" s="4">
        <f>SUBTOTAL(103,Novembro[10])</f>
        <v>0</v>
      </c>
      <c r="M14" s="4">
        <f>SUBTOTAL(103,Novembro[11])</f>
        <v>0</v>
      </c>
      <c r="N14" s="4">
        <f>SUBTOTAL(103,Novembro[12])</f>
        <v>0</v>
      </c>
      <c r="O14" s="4">
        <f>SUBTOTAL(103,Novembro[13])</f>
        <v>0</v>
      </c>
      <c r="P14" s="4">
        <f>SUBTOTAL(103,Novembro[14])</f>
        <v>0</v>
      </c>
      <c r="Q14" s="4">
        <f>SUBTOTAL(103,Novembro[15])</f>
        <v>0</v>
      </c>
      <c r="R14" s="4">
        <f>SUBTOTAL(103,Novembro[16])</f>
        <v>0</v>
      </c>
      <c r="S14" s="4">
        <f>SUBTOTAL(103,Novembro[17])</f>
        <v>0</v>
      </c>
      <c r="T14" s="4">
        <f>SUBTOTAL(103,Novembro[18])</f>
        <v>0</v>
      </c>
      <c r="U14" s="4">
        <f>SUBTOTAL(103,Novembro[19])</f>
        <v>0</v>
      </c>
      <c r="V14" s="4">
        <f>SUBTOTAL(103,Novembro[20])</f>
        <v>0</v>
      </c>
      <c r="W14" s="4">
        <f>SUBTOTAL(103,Novembro[21])</f>
        <v>0</v>
      </c>
      <c r="X14" s="4">
        <f>SUBTOTAL(103,Novembro[22])</f>
        <v>0</v>
      </c>
      <c r="Y14" s="4">
        <f>SUBTOTAL(103,Novembro[23])</f>
        <v>0</v>
      </c>
      <c r="Z14" s="4">
        <f>SUBTOTAL(103,Novembro[24])</f>
        <v>0</v>
      </c>
      <c r="AA14" s="4">
        <f>SUBTOTAL(103,Novembro[25])</f>
        <v>0</v>
      </c>
      <c r="AB14" s="4">
        <f>SUBTOTAL(103,Novembro[26])</f>
        <v>0</v>
      </c>
      <c r="AC14" s="4">
        <f>SUBTOTAL(103,Novembro[27])</f>
        <v>0</v>
      </c>
      <c r="AD14" s="4">
        <f>SUBTOTAL(103,Novembro[28])</f>
        <v>0</v>
      </c>
      <c r="AE14" s="4">
        <f>SUBTOTAL(103,Novembro[29])</f>
        <v>0</v>
      </c>
      <c r="AF14" s="4">
        <f>SUBTOTAL(109,Novembro[30])</f>
        <v>0</v>
      </c>
      <c r="AG14" s="4">
        <f>SUBTOTAL(109,Novembro[[ ]])</f>
        <v>0</v>
      </c>
      <c r="AH14" s="4">
        <f>SUBTOTAL(109,Novembro[Total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147" priority="2" stopIfTrue="1">
      <formula>C9=ChavePersonalizada2</formula>
    </cfRule>
    <cfRule type="expression" dxfId="146" priority="3" stopIfTrue="1">
      <formula>C9=ChavePersonalizada1</formula>
    </cfRule>
    <cfRule type="expression" dxfId="145" priority="4" stopIfTrue="1">
      <formula>C9=ChaveLicençaMédica</formula>
    </cfRule>
    <cfRule type="expression" dxfId="144" priority="5" stopIfTrue="1">
      <formula>C9=ChavePessoal</formula>
    </cfRule>
    <cfRule type="expression" dxfId="143" priority="6" stopIfTrue="1">
      <formula>C9=ChaveFérias</formula>
    </cfRule>
  </conditionalFormatting>
  <conditionalFormatting sqref="AH9:AH13">
    <cfRule type="dataBar" priority="7">
      <dataBar>
        <cfvo type="min"/>
        <cfvo type="formula" val="DATEDIF(DATE(AnoCalendário,2,1),DATE(AnoCalendário,3,1),&quot;d&quot;)"/>
        <color theme="2" tint="-0.249977111117893"/>
      </dataBar>
      <extLst>
        <ext xmlns:x14="http://schemas.microsoft.com/office/spreadsheetml/2009/9/main" uri="{B025F937-C7B1-47D3-B67F-A62EFF666E3E}">
          <x14:id>{27D92E49-5CF1-46DF-AD7A-3A5E92F274F3}</x14:id>
        </ext>
      </extLst>
    </cfRule>
  </conditionalFormatting>
  <dataValidations count="15">
    <dataValidation allowBlank="1" showInputMessage="1" showErrorMessage="1" prompt="Os dias do mês nesta linha são gerados automaticamente. Insira a falta e o tipo de falta de um funcionário em cada coluna de cada dia do mês. Espaço vazio significa sem faltas." sqref="C8" xr:uid="{97706874-D6EF-7649-8BB0-992E1F25B736}"/>
    <dataValidation allowBlank="1" showInputMessage="1" showErrorMessage="1" prompt="O nome do mês para essa agenda de faltas está nesta célula. Os totais de faltas deste mês estão na última célula da tabela. Selecione os nomes dos funcionários na tabela B." sqref="B2" xr:uid="{00000000-0002-0000-0A00-000001000000}"/>
    <dataValidation allowBlank="1" showInputMessage="1" showErrorMessage="1" prompt="Esta linha define as chaves utilizadas na tabela: a célula C4 é Férias, G4 é Pessoal e K4 é Licença médica. As células N4 e R4 são personalizáveis " sqref="B4" xr:uid="{3113BD82-2D3E-8F4A-8BB6-5BEEE7BE0789}"/>
    <dataValidation allowBlank="1" showInputMessage="1" showErrorMessage="1" prompt="Insira um rótulo para descrever a chave personalizada à esquerda." sqref="V4 Q4" xr:uid="{2D3A090B-F718-4F41-8211-E6CC79F16B14}"/>
    <dataValidation allowBlank="1" showInputMessage="1" showErrorMessage="1" prompt="Insira uma letra e personalize o rótulo à direita para adicionar outro item de chave." sqref="P4 U4" xr:uid="{4AA8F930-0666-B342-B223-6859D3ED72AA}"/>
    <dataValidation allowBlank="1" showInputMessage="1" showErrorMessage="1" prompt="A letra &quot;L&quot; indica falta devido à licença médica." sqref="K4" xr:uid="{E3290C1F-2EBB-F545-A50F-DF2335729F55}"/>
    <dataValidation allowBlank="1" showInputMessage="1" showErrorMessage="1" prompt="A letra &quot;P&quot; indica falta devido a motivos pessoais." sqref="G4" xr:uid="{FE1B1844-2315-B443-8B6F-709F2D8FD91A}"/>
    <dataValidation allowBlank="1" showInputMessage="1" showErrorMessage="1" prompt="A letra &quot;F&quot; indica falta devido a férias." sqref="C4" xr:uid="{1EA742A5-682B-AB4E-9F1E-EC4DA4D0EE38}"/>
    <dataValidation allowBlank="1" showInputMessage="1" showErrorMessage="1" prompt="O título atualizado automaticamente está nesta célula. Para modificar o título, atualize B1 na planilha Janeiro." sqref="B2" xr:uid="{00000000-0002-0000-0A00-000008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3B118AC1-307A-6645-A98D-9A80D2AE0EE3}"/>
    <dataValidation allowBlank="1" showInputMessage="1" showErrorMessage="1" prompt="Acompanhe as faltas de novembro nesta planilha." sqref="A1" xr:uid="{00000000-0002-0000-0A00-00000A000000}"/>
    <dataValidation allowBlank="1" showInputMessage="1" showErrorMessage="1" prompt="Calcula automaticamente o número total de dias em que um funcionário esteve ausente deste mês nesta coluna." sqref="AH8" xr:uid="{689D502A-5D97-B44F-AA8E-4AB5A8802DDE}"/>
    <dataValidation allowBlank="1" showInputMessage="1" showErrorMessage="1" prompt="Ano atualizado automaticamente com base no ano inserido na planilha de janeiro." sqref="AH6" xr:uid="{CA024147-D189-C949-8452-0A51ECF8D4AA}"/>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DEEC83F4-4C72-7D4D-B442-B00CC4990A25}"/>
    <dataValidation allowBlank="1" showInputMessage="1" showErrorMessage="1" prompt="O título desta planilha está nesta célula. " sqref="B1" xr:uid="{C3B9D9EA-9B20-4756-B664-7AA7A0EDAD13}"/>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27D92E49-5CF1-46DF-AD7A-3A5E92F274F3}">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E000000}">
          <x14:formula1>
            <xm:f>'Nomes dos funcionários'!$B$4:$B$8</xm:f>
          </x14:formula1>
          <xm:sqref>B9:B13</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tint="0.39997558519241921"/>
    <pageSetUpPr fitToPage="1"/>
  </sheetPr>
  <dimension ref="B1:AH14"/>
  <sheetViews>
    <sheetView showGridLines="0" zoomScaleNormal="100" workbookViewId="0"/>
  </sheetViews>
  <sheetFormatPr defaultColWidth="8.7109375" defaultRowHeight="30" customHeight="1"/>
  <cols>
    <col min="1" max="1" width="2.7109375" customWidth="1"/>
    <col min="2" max="2" width="29" customWidth="1"/>
    <col min="3" max="33" width="4.7109375" customWidth="1"/>
    <col min="34" max="34" width="15.42578125" customWidth="1"/>
    <col min="35" max="35" width="2.7109375" customWidth="1"/>
  </cols>
  <sheetData>
    <row r="1" spans="2:34" ht="49.9" customHeight="1">
      <c r="B1" s="26" t="s">
        <v>0</v>
      </c>
    </row>
    <row r="2" spans="2:34" ht="100.15" customHeight="1">
      <c r="B2" s="25" t="s">
        <v>63</v>
      </c>
    </row>
    <row r="3" spans="2:34" ht="15" customHeight="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row>
    <row r="4" spans="2:34" ht="30" customHeight="1">
      <c r="B4" s="8" t="s">
        <v>2</v>
      </c>
      <c r="C4" s="31" t="s">
        <v>3</v>
      </c>
      <c r="D4" s="36" t="s">
        <v>4</v>
      </c>
      <c r="E4" s="36"/>
      <c r="F4" s="36"/>
      <c r="G4" s="29" t="s">
        <v>5</v>
      </c>
      <c r="H4" s="36" t="s">
        <v>6</v>
      </c>
      <c r="I4" s="36"/>
      <c r="J4" s="36"/>
      <c r="K4" s="30" t="s">
        <v>7</v>
      </c>
      <c r="L4" s="36" t="s">
        <v>8</v>
      </c>
      <c r="M4" s="36"/>
      <c r="N4" s="36"/>
      <c r="O4" s="36"/>
      <c r="P4" s="19"/>
      <c r="Q4" s="36" t="s">
        <v>9</v>
      </c>
      <c r="R4" s="36"/>
      <c r="S4" s="36"/>
      <c r="T4" s="36"/>
      <c r="U4" s="20"/>
      <c r="V4" s="36" t="s">
        <v>10</v>
      </c>
      <c r="W4" s="36"/>
      <c r="X4" s="36"/>
      <c r="Y4" s="36"/>
    </row>
    <row r="5" spans="2:34" ht="15" customHeight="1">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row>
    <row r="6" spans="2:34" ht="49.9" customHeight="1">
      <c r="B6" s="7"/>
      <c r="C6" s="35" t="s">
        <v>11</v>
      </c>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7">
        <f>AnoCalendário</f>
        <v>2023</v>
      </c>
    </row>
    <row r="7" spans="2:34" ht="30" customHeight="1">
      <c r="B7" s="7"/>
      <c r="C7" s="23" t="str">
        <f>TEXT(WEEKDAY(DATE(AnoCalendário,12,1),1),"ddd")</f>
        <v>sex</v>
      </c>
      <c r="D7" s="23" t="str">
        <f>TEXT(WEEKDAY(DATE(AnoCalendário,12,2),1),"ddd")</f>
        <v>sáb</v>
      </c>
      <c r="E7" s="23" t="str">
        <f>TEXT(WEEKDAY(DATE(AnoCalendário,12,3),1),"ddd")</f>
        <v>dom</v>
      </c>
      <c r="F7" s="23" t="str">
        <f>TEXT(WEEKDAY(DATE(AnoCalendário,12,4),1),"ddd")</f>
        <v>seg</v>
      </c>
      <c r="G7" s="23" t="str">
        <f>TEXT(WEEKDAY(DATE(AnoCalendário,12,5),1),"ddd")</f>
        <v>ter</v>
      </c>
      <c r="H7" s="23" t="str">
        <f>TEXT(WEEKDAY(DATE(AnoCalendário,12,6),1),"ddd")</f>
        <v>qua</v>
      </c>
      <c r="I7" s="23" t="str">
        <f>TEXT(WEEKDAY(DATE(AnoCalendário,12,7),1),"ddd")</f>
        <v>qui</v>
      </c>
      <c r="J7" s="23" t="str">
        <f>TEXT(WEEKDAY(DATE(AnoCalendário,12,8),1),"ddd")</f>
        <v>sex</v>
      </c>
      <c r="K7" s="23" t="str">
        <f>TEXT(WEEKDAY(DATE(AnoCalendário,12,9),1),"ddd")</f>
        <v>sáb</v>
      </c>
      <c r="L7" s="23" t="str">
        <f>TEXT(WEEKDAY(DATE(AnoCalendário,12,10),1),"ddd")</f>
        <v>dom</v>
      </c>
      <c r="M7" s="23" t="str">
        <f>TEXT(WEEKDAY(DATE(AnoCalendário,12,11),1),"ddd")</f>
        <v>seg</v>
      </c>
      <c r="N7" s="23" t="str">
        <f>TEXT(WEEKDAY(DATE(AnoCalendário,12,12),1),"ddd")</f>
        <v>ter</v>
      </c>
      <c r="O7" s="23" t="str">
        <f>TEXT(WEEKDAY(DATE(AnoCalendário,12,13),1),"ddd")</f>
        <v>qua</v>
      </c>
      <c r="P7" s="23" t="str">
        <f>TEXT(WEEKDAY(DATE(AnoCalendário,12,14),1),"ddd")</f>
        <v>qui</v>
      </c>
      <c r="Q7" s="23" t="str">
        <f>TEXT(WEEKDAY(DATE(AnoCalendário,12,15),1),"ddd")</f>
        <v>sex</v>
      </c>
      <c r="R7" s="23" t="str">
        <f>TEXT(WEEKDAY(DATE(AnoCalendário,12,16),1),"ddd")</f>
        <v>sáb</v>
      </c>
      <c r="S7" s="23" t="str">
        <f>TEXT(WEEKDAY(DATE(AnoCalendário,12,17),1),"ddd")</f>
        <v>dom</v>
      </c>
      <c r="T7" s="23" t="str">
        <f>TEXT(WEEKDAY(DATE(AnoCalendário,12,18),1),"ddd")</f>
        <v>seg</v>
      </c>
      <c r="U7" s="23" t="str">
        <f>TEXT(WEEKDAY(DATE(AnoCalendário,12,19),1),"ddd")</f>
        <v>ter</v>
      </c>
      <c r="V7" s="23" t="str">
        <f>TEXT(WEEKDAY(DATE(AnoCalendário,12,20),1),"ddd")</f>
        <v>qua</v>
      </c>
      <c r="W7" s="23" t="str">
        <f>TEXT(WEEKDAY(DATE(AnoCalendário,12,21),1),"ddd")</f>
        <v>qui</v>
      </c>
      <c r="X7" s="23" t="str">
        <f>TEXT(WEEKDAY(DATE(AnoCalendário,12,22),1),"ddd")</f>
        <v>sex</v>
      </c>
      <c r="Y7" s="23" t="str">
        <f>TEXT(WEEKDAY(DATE(AnoCalendário,12,23),1),"ddd")</f>
        <v>sáb</v>
      </c>
      <c r="Z7" s="23" t="str">
        <f>TEXT(WEEKDAY(DATE(AnoCalendário,12,24),1),"ddd")</f>
        <v>dom</v>
      </c>
      <c r="AA7" s="23" t="str">
        <f>TEXT(WEEKDAY(DATE(AnoCalendário,12,25),1),"ddd")</f>
        <v>seg</v>
      </c>
      <c r="AB7" s="23" t="str">
        <f>TEXT(WEEKDAY(DATE(AnoCalendário,12,26),1),"ddd")</f>
        <v>ter</v>
      </c>
      <c r="AC7" s="23" t="str">
        <f>TEXT(WEEKDAY(DATE(AnoCalendário,12,27),1),"ddd")</f>
        <v>qua</v>
      </c>
      <c r="AD7" s="23" t="str">
        <f>TEXT(WEEKDAY(DATE(AnoCalendário,12,28),1),"ddd")</f>
        <v>qui</v>
      </c>
      <c r="AE7" s="23" t="str">
        <f>TEXT(WEEKDAY(DATE(AnoCalendário,12,29),1),"ddd")</f>
        <v>sex</v>
      </c>
      <c r="AF7" s="23" t="str">
        <f>TEXT(WEEKDAY(DATE(AnoCalendário,12,30),1),"ddd")</f>
        <v>sáb</v>
      </c>
      <c r="AG7" s="23" t="str">
        <f>TEXT(WEEKDAY(DATE(AnoCalendário,12,31),1),"ddd")</f>
        <v>dom</v>
      </c>
      <c r="AH7" s="7"/>
    </row>
    <row r="8" spans="2:34" ht="30" customHeight="1">
      <c r="B8" s="22" t="s">
        <v>12</v>
      </c>
      <c r="C8" s="1" t="s">
        <v>13</v>
      </c>
      <c r="D8" s="1" t="s">
        <v>14</v>
      </c>
      <c r="E8" s="1" t="s">
        <v>15</v>
      </c>
      <c r="F8" s="1" t="s">
        <v>16</v>
      </c>
      <c r="G8" s="1" t="s">
        <v>17</v>
      </c>
      <c r="H8" s="1" t="s">
        <v>18</v>
      </c>
      <c r="I8" s="1" t="s">
        <v>19</v>
      </c>
      <c r="J8" s="1" t="s">
        <v>20</v>
      </c>
      <c r="K8" s="1" t="s">
        <v>21</v>
      </c>
      <c r="L8" s="1" t="s">
        <v>22</v>
      </c>
      <c r="M8" s="1" t="s">
        <v>23</v>
      </c>
      <c r="N8" s="1" t="s">
        <v>24</v>
      </c>
      <c r="O8" s="1" t="s">
        <v>25</v>
      </c>
      <c r="P8" s="1" t="s">
        <v>26</v>
      </c>
      <c r="Q8" s="1" t="s">
        <v>27</v>
      </c>
      <c r="R8" s="1" t="s">
        <v>28</v>
      </c>
      <c r="S8" s="1" t="s">
        <v>29</v>
      </c>
      <c r="T8" s="1" t="s">
        <v>30</v>
      </c>
      <c r="U8" s="1" t="s">
        <v>31</v>
      </c>
      <c r="V8" s="1" t="s">
        <v>32</v>
      </c>
      <c r="W8" s="1" t="s">
        <v>33</v>
      </c>
      <c r="X8" s="1" t="s">
        <v>34</v>
      </c>
      <c r="Y8" s="1" t="s">
        <v>35</v>
      </c>
      <c r="Z8" s="1" t="s">
        <v>36</v>
      </c>
      <c r="AA8" s="1" t="s">
        <v>37</v>
      </c>
      <c r="AB8" s="1" t="s">
        <v>38</v>
      </c>
      <c r="AC8" s="1" t="s">
        <v>39</v>
      </c>
      <c r="AD8" s="1" t="s">
        <v>40</v>
      </c>
      <c r="AE8" s="1" t="s">
        <v>41</v>
      </c>
      <c r="AF8" s="1" t="s">
        <v>42</v>
      </c>
      <c r="AG8" s="1" t="s">
        <v>43</v>
      </c>
      <c r="AH8" s="24" t="s">
        <v>44</v>
      </c>
    </row>
    <row r="9" spans="2:34" ht="30" customHeight="1">
      <c r="B9" s="2" t="s">
        <v>45</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3">
        <f>COUNTA(Dezembro[[#This Row],[1]:[31]])</f>
        <v>0</v>
      </c>
    </row>
    <row r="10" spans="2:34" ht="30" customHeight="1">
      <c r="B10" s="2" t="s">
        <v>46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3">
        <f>COUNTA(Dezembro[[#This Row],[1]:[31]])</f>
        <v>0</v>
      </c>
    </row>
    <row r="11" spans="2:34" ht="30" customHeight="1">
      <c r="B11" s="2" t="s">
        <v>47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3">
        <f>COUNTA(Dezembro[[#This Row],[1]:[31]])</f>
        <v>0</v>
      </c>
    </row>
    <row r="12" spans="2:34" ht="30" customHeight="1">
      <c r="B12" s="2" t="s">
        <v>48</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3">
        <f>COUNTA(Dezembro[[#This Row],[1]:[31]])</f>
        <v>0</v>
      </c>
    </row>
    <row r="13" spans="2:34" ht="30" customHeight="1">
      <c r="B13" s="2" t="s">
        <v>49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3">
        <f>COUNTA(Dezembro[[#This Row],[1]:[31]])</f>
        <v>0</v>
      </c>
    </row>
    <row r="14" spans="2:34" ht="30" customHeight="1">
      <c r="B14" s="5" t="str">
        <f>NomeMês&amp;" Total"</f>
        <v>Dezembro Total</v>
      </c>
      <c r="C14" s="4">
        <f>SUBTOTAL(103,Dezembro[1])</f>
        <v>0</v>
      </c>
      <c r="D14" s="4">
        <f>SUBTOTAL(103,Dezembro[2])</f>
        <v>0</v>
      </c>
      <c r="E14" s="4">
        <f>SUBTOTAL(103,Dezembro[3])</f>
        <v>0</v>
      </c>
      <c r="F14" s="4">
        <f>SUBTOTAL(103,Dezembro[4])</f>
        <v>0</v>
      </c>
      <c r="G14" s="4">
        <f>SUBTOTAL(103,Dezembro[5])</f>
        <v>0</v>
      </c>
      <c r="H14" s="4">
        <f>SUBTOTAL(103,Dezembro[6])</f>
        <v>0</v>
      </c>
      <c r="I14" s="4">
        <f>SUBTOTAL(103,Dezembro[7])</f>
        <v>0</v>
      </c>
      <c r="J14" s="4">
        <f>SUBTOTAL(103,Dezembro[8])</f>
        <v>0</v>
      </c>
      <c r="K14" s="4">
        <f>SUBTOTAL(103,Dezembro[9])</f>
        <v>0</v>
      </c>
      <c r="L14" s="4">
        <f>SUBTOTAL(103,Dezembro[10])</f>
        <v>0</v>
      </c>
      <c r="M14" s="4">
        <f>SUBTOTAL(103,Dezembro[11])</f>
        <v>0</v>
      </c>
      <c r="N14" s="4">
        <f>SUBTOTAL(103,Dezembro[12])</f>
        <v>0</v>
      </c>
      <c r="O14" s="4">
        <f>SUBTOTAL(103,Dezembro[13])</f>
        <v>0</v>
      </c>
      <c r="P14" s="4">
        <f>SUBTOTAL(103,Dezembro[14])</f>
        <v>0</v>
      </c>
      <c r="Q14" s="4">
        <f>SUBTOTAL(103,Dezembro[15])</f>
        <v>0</v>
      </c>
      <c r="R14" s="4">
        <f>SUBTOTAL(103,Dezembro[16])</f>
        <v>0</v>
      </c>
      <c r="S14" s="4">
        <f>SUBTOTAL(103,Dezembro[17])</f>
        <v>0</v>
      </c>
      <c r="T14" s="4">
        <f>SUBTOTAL(103,Dezembro[18])</f>
        <v>0</v>
      </c>
      <c r="U14" s="4">
        <f>SUBTOTAL(103,Dezembro[19])</f>
        <v>0</v>
      </c>
      <c r="V14" s="4">
        <f>SUBTOTAL(103,Dezembro[20])</f>
        <v>0</v>
      </c>
      <c r="W14" s="4">
        <f>SUBTOTAL(103,Dezembro[21])</f>
        <v>0</v>
      </c>
      <c r="X14" s="4">
        <f>SUBTOTAL(103,Dezembro[22])</f>
        <v>0</v>
      </c>
      <c r="Y14" s="4">
        <f>SUBTOTAL(103,Dezembro[23])</f>
        <v>0</v>
      </c>
      <c r="Z14" s="4">
        <f>SUBTOTAL(103,Dezembro[24])</f>
        <v>0</v>
      </c>
      <c r="AA14" s="4">
        <f>SUBTOTAL(103,Dezembro[25])</f>
        <v>0</v>
      </c>
      <c r="AB14" s="4">
        <f>SUBTOTAL(103,Dezembro[26])</f>
        <v>0</v>
      </c>
      <c r="AC14" s="4">
        <f>SUBTOTAL(103,Dezembro[27])</f>
        <v>0</v>
      </c>
      <c r="AD14" s="4">
        <f>SUBTOTAL(103,Dezembro[28])</f>
        <v>0</v>
      </c>
      <c r="AE14" s="4">
        <f>SUBTOTAL(103,Dezembro[29])</f>
        <v>0</v>
      </c>
      <c r="AF14" s="4">
        <f>SUBTOTAL(109,Dezembro[30])</f>
        <v>0</v>
      </c>
      <c r="AG14" s="4">
        <f>SUBTOTAL(109,Dezembro[31])</f>
        <v>0</v>
      </c>
      <c r="AH14" s="4">
        <f>SUBTOTAL(109,Dezembro[Total de dias])</f>
        <v>0</v>
      </c>
    </row>
  </sheetData>
  <mergeCells count="6">
    <mergeCell ref="C6:AG6"/>
    <mergeCell ref="D4:F4"/>
    <mergeCell ref="H4:J4"/>
    <mergeCell ref="L4:O4"/>
    <mergeCell ref="Q4:T4"/>
    <mergeCell ref="V4:Y4"/>
  </mergeCells>
  <phoneticPr fontId="32" type="noConversion"/>
  <conditionalFormatting sqref="C9:AG13">
    <cfRule type="expression" priority="1" stopIfTrue="1">
      <formula>C9=""</formula>
    </cfRule>
    <cfRule type="expression" dxfId="73" priority="2" stopIfTrue="1">
      <formula>C9=ChavePersonalizada2</formula>
    </cfRule>
    <cfRule type="expression" dxfId="72" priority="3" stopIfTrue="1">
      <formula>C9=ChavePersonalizada1</formula>
    </cfRule>
    <cfRule type="expression" dxfId="71" priority="4" stopIfTrue="1">
      <formula>C9=ChaveLicençaMédica</formula>
    </cfRule>
    <cfRule type="expression" dxfId="70" priority="5" stopIfTrue="1">
      <formula>C9=ChavePessoal</formula>
    </cfRule>
    <cfRule type="expression" dxfId="69" priority="6" stopIfTrue="1">
      <formula>C9=ChaveFérias</formula>
    </cfRule>
  </conditionalFormatting>
  <conditionalFormatting sqref="AH9:AH13">
    <cfRule type="dataBar" priority="30">
      <dataBar>
        <cfvo type="min"/>
        <cfvo type="formula" val="DATEDIF(DATE(AnoCalendário,2,1),DATE(AnoCalendário,3,1),&quot;d&quot;)"/>
        <color theme="2" tint="-0.249977111117893"/>
      </dataBar>
      <extLst>
        <ext xmlns:x14="http://schemas.microsoft.com/office/spreadsheetml/2009/9/main" uri="{B025F937-C7B1-47D3-B67F-A62EFF666E3E}">
          <x14:id>{17586780-365B-4F4C-BBB4-F5991705D361}</x14:id>
        </ext>
      </extLst>
    </cfRule>
  </conditionalFormatting>
  <dataValidations count="14">
    <dataValidation allowBlank="1" showInputMessage="1" showErrorMessage="1" prompt="Ano atualizado automaticamente com base no ano inserido na planilha de janeiro." sqref="AH6" xr:uid="{F939E1BE-E9C7-DD4A-972C-CB40EF785EA4}"/>
    <dataValidation allowBlank="1" showInputMessage="1" showErrorMessage="1" prompt="Calcula automaticamente o número total de dias em que um funcionário esteve ausente deste mês nesta coluna." sqref="AH8" xr:uid="{E810E773-697E-9042-BA14-6FFBF70DB80B}"/>
    <dataValidation allowBlank="1" showInputMessage="1" showErrorMessage="1" prompt="Acompanhe as faltas de dezembro nesta planilha." sqref="A1" xr:uid="{00000000-0002-0000-0B00-000002000000}"/>
    <dataValidation errorStyle="warning" allowBlank="1" showInputMessage="1" showErrorMessage="1" error="Selecione o nome da lista. Selecione Cancelar e pressione Alt+Seta para baixo e Enter para selecionar um nome." prompt="Insira os nomes dos funcionários na planilha Nomes dos funcionários e selecione um dos nomes da lista nesta coluna. Pressione Alt+Seta para baixo e, em seguida, ENTER para selecionar um nome." sqref="B8" xr:uid="{F25CB198-02E4-9141-B0E1-E7775C53D7BD}"/>
    <dataValidation allowBlank="1" showInputMessage="1" showErrorMessage="1" prompt="A letra &quot;F&quot; indica falta devido a férias." sqref="C4" xr:uid="{ED4A15C0-8DA5-2043-A297-E9A845742425}"/>
    <dataValidation allowBlank="1" showInputMessage="1" showErrorMessage="1" prompt="A letra &quot;P&quot; indica falta devido a motivos pessoais." sqref="G4" xr:uid="{7207D7FD-5017-EF42-9569-45A9524170F8}"/>
    <dataValidation allowBlank="1" showInputMessage="1" showErrorMessage="1" prompt="A letra &quot;L&quot; indica falta devido à licença médica." sqref="K4" xr:uid="{4D084239-C8FB-C046-9230-A15D4D47B694}"/>
    <dataValidation allowBlank="1" showInputMessage="1" showErrorMessage="1" prompt="Insira uma letra e personalize o rótulo à direita para adicionar outro item de chave." sqref="P4 U4" xr:uid="{0DF704A8-DCAE-FA47-8E43-6E8199D9D1C3}"/>
    <dataValidation allowBlank="1" showInputMessage="1" showErrorMessage="1" prompt="Insira um rótulo para descrever a chave personalizada à esquerda." sqref="V4 Q4" xr:uid="{FCF8A90C-1CD6-4D49-B950-62F1E1562EA4}"/>
    <dataValidation allowBlank="1" showInputMessage="1" showErrorMessage="1" prompt="O nome do mês para essa agenda de faltas está nesta célula. Os totais de faltas deste mês estão na última célula da tabela. Selecione os nomes dos funcionários na tabela B." sqref="B2" xr:uid="{00000000-0002-0000-0B00-00000B000000}"/>
    <dataValidation allowBlank="1" showInputMessage="1" showErrorMessage="1" prompt="Os dias do mês nesta linha são gerados automaticamente. Insira a falta e o tipo de falta de um funcionário em cada coluna de cada dia do mês. Espaço vazio significa sem faltas." sqref="C8" xr:uid="{0482EFB3-0A55-4547-B0F2-69F4B25A0231}"/>
    <dataValidation allowBlank="1" showInputMessage="1" showErrorMessage="1" prompt="O título desta planilha está nesta célula. " sqref="B1" xr:uid="{FDB263A1-B6DC-D444-9FD0-77187D984860}"/>
    <dataValidation allowBlank="1" showInputMessage="1" showErrorMessage="1" prompt="Os dias da semana nesta linha são atualizados automaticamente para o mês de acordo com o ano na célula AH4. Cada dia do mês é uma coluna para indicar a falta e o tipo de falta de um funcionário." sqref="C7" xr:uid="{CB1E42E3-65E1-5041-91B2-633C92F4BB63}"/>
    <dataValidation allowBlank="1" showInputMessage="1" showErrorMessage="1" prompt="Esta linha define as chaves utilizadas na tabela: a célula C4 é Férias, G4 é Pessoal e K4 é Licença médica. As células N4 e R4 são personalizáveis " sqref="B4" xr:uid="{7C3D3AA3-51C0-46FC-A6A3-BE2B656A1D6B}"/>
  </dataValidations>
  <printOptions horizontalCentered="1"/>
  <pageMargins left="0.25" right="0.25" top="0.75" bottom="0.75" header="0.3" footer="0.3"/>
  <pageSetup paperSize="9" scale="75"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17586780-365B-4F4C-BBB4-F5991705D361}">
            <x14:dataBar minLength="0" maxLength="100">
              <x14:cfvo type="autoMin"/>
              <x14:cfvo type="formula">
                <xm:f>DATEDIF(DATE(AnoCalendário,2,1),DATE(AnoCalendário,3,1),"d")</xm:f>
              </x14:cfvo>
              <x14:negativeFillColor rgb="FFFF0000"/>
              <x14:axisColor rgb="FF000000"/>
            </x14:dataBar>
          </x14:cfRule>
          <xm:sqref>AH9:AH13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E000000}">
          <x14:formula1>
            <xm:f>'Nomes dos funcionários'!$B$4:$B$8</xm:f>
          </x14:formula1>
          <xm:sqref>B9:B13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pageSetUpPr fitToPage="1"/>
  </sheetPr>
  <dimension ref="B1:B8"/>
  <sheetViews>
    <sheetView showGridLines="0" workbookViewId="0"/>
  </sheetViews>
  <sheetFormatPr defaultColWidth="8.7109375" defaultRowHeight="30" customHeight="1"/>
  <cols>
    <col min="1" max="1" width="2.7109375" customWidth="1"/>
    <col min="2" max="2" width="37.5703125" customWidth="1"/>
    <col min="3" max="3" width="2.7109375" customWidth="1"/>
  </cols>
  <sheetData>
    <row r="1" spans="2:2" ht="49.9" customHeight="1">
      <c r="B1" s="13" t="s">
        <v>64</v>
      </c>
    </row>
    <row r="2" spans="2:2" ht="15" customHeight="1"/>
    <row r="3" spans="2:2" ht="30" customHeight="1">
      <c r="B3" t="s">
        <v>65</v>
      </c>
    </row>
    <row r="4" spans="2:2" ht="30" customHeight="1">
      <c r="B4" s="6" t="s">
        <v>45</v>
      </c>
    </row>
    <row r="5" spans="2:2" ht="30" customHeight="1">
      <c r="B5" s="6" t="s">
        <v>46</v>
      </c>
    </row>
    <row r="6" spans="2:2" ht="30" customHeight="1">
      <c r="B6" s="6" t="s">
        <v>47</v>
      </c>
    </row>
    <row r="7" spans="2:2" ht="30" customHeight="1">
      <c r="B7" s="6" t="s">
        <v>48</v>
      </c>
    </row>
    <row r="8" spans="2:2" ht="30" customHeight="1">
      <c r="B8" s="6" t="s">
        <v>49</v>
      </c>
    </row>
  </sheetData>
  <phoneticPr fontId="32" type="noConversion"/>
  <dataValidations count="2">
    <dataValidation allowBlank="1" showInputMessage="1" showErrorMessage="1" prompt="Insira os nomes dos funcionários na tabela nome do funcionário nesta planilha. Esses nomes são usados como opções na coluna B da tabela de faltas de cada mês." sqref="A1" xr:uid="{00000000-0002-0000-0C00-000001000000}"/>
    <dataValidation allowBlank="1" showInputMessage="1" showErrorMessage="1" prompt="Insira os nomes dos funcionários nesta coluna." sqref="B3" xr:uid="{00000000-0002-0000-0C00-000002000000}"/>
  </dataValidations>
  <printOptions horizontalCentered="1"/>
  <pageMargins left="0.25" right="0.25" top="0.75" bottom="0.75" header="0.3" footer="0.3"/>
  <pageSetup paperSize="9" fitToHeight="0" orientation="landscape" r:id="rId1"/>
  <headerFooter differentFirst="1">
    <oddFooter>Page &amp;P of &amp;N</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51F058CA-AF0F-4794-AA37-06C85ADD9B08}"/>
</file>

<file path=customXml/itemProps2.xml><?xml version="1.0" encoding="utf-8"?>
<ds:datastoreItem xmlns:ds="http://schemas.openxmlformats.org/officeDocument/2006/customXml" ds:itemID="{957AB40D-2CA3-4584-B4A5-128B4062B6A7}"/>
</file>

<file path=customXml/itemProps3.xml><?xml version="1.0" encoding="utf-8"?>
<ds:datastoreItem xmlns:ds="http://schemas.openxmlformats.org/officeDocument/2006/customXml" ds:itemID="{A7C9C07F-CF0F-4409-BAA3-C354F11EB275}"/>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TM03987167</Template>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2025-06-10T19:52:36Z</dcterms:created>
  <dcterms:modified xsi:type="dcterms:W3CDTF">2025-06-10T19:55:48Z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