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autoCompressPictures="0"/>
  <mc:AlternateContent xmlns:mc="http://schemas.openxmlformats.org/markup-compatibility/2006">
    <mc:Choice Requires="x15">
      <x15ac:absPath xmlns:x15ac="http://schemas.microsoft.com/office/spreadsheetml/2010/11/ac" url="E:\Luiz CPD\02\calendário\"/>
    </mc:Choice>
  </mc:AlternateContent>
  <xr:revisionPtr revIDLastSave="0" documentId="8_{3C6CE1AE-ABF8-4666-AB3E-61EFC6DE3589}" xr6:coauthVersionLast="43" xr6:coauthVersionMax="43" xr10:uidLastSave="{00000000-0000-0000-0000-000000000000}"/>
  <bookViews>
    <workbookView xWindow="-120" yWindow="-120" windowWidth="20730" windowHeight="11310" tabRatio="741" xr2:uid="{00000000-000D-0000-FFFF-FFFF00000000}"/>
  </bookViews>
  <sheets>
    <sheet name="Jan" sheetId="1" r:id="rId1"/>
    <sheet name="Fev" sheetId="6" r:id="rId2"/>
    <sheet name="Mar" sheetId="17" r:id="rId3"/>
    <sheet name="Abr" sheetId="18" r:id="rId4"/>
    <sheet name="Mai" sheetId="19" r:id="rId5"/>
    <sheet name="Jun" sheetId="20" r:id="rId6"/>
    <sheet name="Jul" sheetId="21" r:id="rId7"/>
    <sheet name="Ago" sheetId="22" r:id="rId8"/>
    <sheet name="Set" sheetId="23" r:id="rId9"/>
    <sheet name="Out" sheetId="24" r:id="rId10"/>
    <sheet name="Nov" sheetId="25" r:id="rId11"/>
    <sheet name="Dez" sheetId="26" r:id="rId12"/>
  </sheets>
  <definedNames>
    <definedName name="AbrDom1">DATE(AnoCivil,4,1)-WEEKDAY(DATE(AnoCivil,4,1))</definedName>
    <definedName name="AgoDom1">DATE(AnoCivil,8,1)-WEEKDAY(DATE(AnoCivil,8,1))</definedName>
    <definedName name="AnoCivil">Jan!$B$1</definedName>
    <definedName name="DezDom1">DATE(AnoCivil,12,1)-WEEKDAY(DATE(AnoCivil,12,1))</definedName>
    <definedName name="DiasTarefa" localSheetId="3">Abr!$K$2:$K$31</definedName>
    <definedName name="DiasTarefa" localSheetId="7">Ago!$K$2:$K$31</definedName>
    <definedName name="DiasTarefa" localSheetId="11">Dez!$K$2:$K$31</definedName>
    <definedName name="DiasTarefa" localSheetId="1">Fev!$K$2:$K$31</definedName>
    <definedName name="DiasTarefa" localSheetId="6">Jul!$K$2:$K$31</definedName>
    <definedName name="DiasTarefa" localSheetId="5">Jun!$K$2:$K$31</definedName>
    <definedName name="DiasTarefa" localSheetId="4">Mai!$K$2:$K$31</definedName>
    <definedName name="DiasTarefa" localSheetId="2">Mar!$K$2:$K$31</definedName>
    <definedName name="DiasTarefa" localSheetId="10">Nov!$K$2:$K$31</definedName>
    <definedName name="DiasTarefa" localSheetId="9">Out!$K$2:$K$31</definedName>
    <definedName name="DiasTarefa" localSheetId="8">Set!$K$2:$K$31</definedName>
    <definedName name="DiasTarefa">Jan!$K$2:$K$31</definedName>
    <definedName name="FevDom1">DATE(AnoCivil,2,1)-WEEKDAY(DATE(AnoCivil,2,1))</definedName>
    <definedName name="JanDom1">DATE(AnoCivil,1,1)-WEEKDAY(DATE(AnoCivil,1,1))</definedName>
    <definedName name="JulDom1">DATE(AnoCivil,7,1)-WEEKDAY(DATE(AnoCivil,7,1))</definedName>
    <definedName name="JunDom1">DATE(AnoCivil,6,1)-WEEKDAY(DATE(AnoCivil,6,1))</definedName>
    <definedName name="MaiDom1">DATE(AnoCivil,5,1)-WEEKDAY(DATE(AnoCivil,5,1))</definedName>
    <definedName name="MarDom1">DATE(AnoCivil,3,1)-WEEKDAY(DATE(AnoCivil,3,1))</definedName>
    <definedName name="NovDom1">DATE(AnoCivil,11,1)-WEEKDAY(DATE(AnoCivil,11,1))</definedName>
    <definedName name="OutDom1">DATE(AnoCivil,10,1)-WEEKDAY(DATE(AnoCivil,10,1))</definedName>
    <definedName name="RegiãoTítulo2..I31.1">Jan!$A$11</definedName>
    <definedName name="RegiãoTítulo2..I31.10">Out!$A$11</definedName>
    <definedName name="RegiãoTítulo2..I31.11">Nov!$A$11</definedName>
    <definedName name="RegiãoTítulo2..I31.12">Dez!$A$11</definedName>
    <definedName name="RegiãoTítulo2..I31.2">Fev!$A$11</definedName>
    <definedName name="RegiãoTítulo2..I31.3">Mar!$A$11</definedName>
    <definedName name="RegiãoTítulo2..I31.4">Abr!$A$11</definedName>
    <definedName name="RegiãoTítulo2..I31.5">Mai!$A$11</definedName>
    <definedName name="RegiãoTítulo2..I31.6">Jun!$A$11</definedName>
    <definedName name="RegiãoTítulo2..I31.7">Jul!$A$11</definedName>
    <definedName name="RegiãoTítulo2..I31.8">Ago!$A$11</definedName>
    <definedName name="RegiãoTítulo2..I31.9">Set!$A$11</definedName>
    <definedName name="RegiãoTìtuloColuna1..I8.1">Jan!$C$2</definedName>
    <definedName name="RegiãoTìtuloColuna1..I8.10">Out!$C$2</definedName>
    <definedName name="RegiãoTìtuloColuna1..I8.11">Nov!$C$2</definedName>
    <definedName name="RegiãoTìtuloColuna1..I8.12">Dez!$C$2</definedName>
    <definedName name="RegiãoTìtuloColuna1..I8.2">Fev!$C$2</definedName>
    <definedName name="RegiãoTìtuloColuna1..I8.3">Mar!$C$2</definedName>
    <definedName name="RegiãoTìtuloColuna1..I8.4">Abr!$C$2</definedName>
    <definedName name="RegiãoTìtuloColuna1..I8.5">Mai!$C$2</definedName>
    <definedName name="RegiãoTìtuloColuna1..I8.6">Jun!$C$2</definedName>
    <definedName name="RegiãoTìtuloColuna1..I8.7">Jul!$C$2</definedName>
    <definedName name="RegiãoTìtuloColuna1..I8.8">Ago!$C$2</definedName>
    <definedName name="RegiãoTìtuloColuna1..I8.9">Set!$C$2</definedName>
    <definedName name="SetDom1">DATE(AnoCivil,9,1)-WEEKDAY(DATE(AnoCivil,9,1))</definedName>
    <definedName name="TabelaDatasImportantes" localSheetId="3">Abr!$K$2:$L$6</definedName>
    <definedName name="TabelaDatasImportantes" localSheetId="7">Ago!$K$2:$L$6</definedName>
    <definedName name="TabelaDatasImportantes" localSheetId="11">Dez!$K$2:$L$6</definedName>
    <definedName name="TabelaDatasImportantes" localSheetId="1">Fev!$K$2:$L$6</definedName>
    <definedName name="TabelaDatasImportantes" localSheetId="6">Jul!$K$2:$L$6</definedName>
    <definedName name="TabelaDatasImportantes" localSheetId="5">Jun!$K$2:$L$6</definedName>
    <definedName name="TabelaDatasImportantes" localSheetId="4">Mai!$K$2:$L$6</definedName>
    <definedName name="TabelaDatasImportantes" localSheetId="2">Mar!$K$2:$L$6</definedName>
    <definedName name="TabelaDatasImportantes" localSheetId="10">Nov!$K$2:$L$6</definedName>
    <definedName name="TabelaDatasImportantes" localSheetId="9">Out!$K$2:$L$6</definedName>
    <definedName name="TabelaDatasImportantes" localSheetId="8">Set!$K$2:$L$6</definedName>
    <definedName name="TabelaDatasImportantes">Jan!$K$2:$L$6</definedName>
    <definedName name="TítuloColuna1">Tarefas_de_janeiro[[#Headers],[Dia da semana]]</definedName>
    <definedName name="TítuloColuna10">Tarefas_de_outubro[[#Headers],[Dia da semana]]</definedName>
    <definedName name="TítuloColuna11">Tarefas_de_novembro[[#Headers],[Dia da semana]]</definedName>
    <definedName name="TítuloColuna12">Tarefas_de_dezembro[[#Headers],[Dia da semana]]</definedName>
    <definedName name="TítuloColuna2">Tarefas_de_fevereiro[[#Headers],[Dia da semana]]</definedName>
    <definedName name="TítuloColuna3">Tarefas_de_março[[#Headers],[Dia da semana]]</definedName>
    <definedName name="TítuloColuna4">Tarefas_de_abril[[#Headers],[Dia da semana]]</definedName>
    <definedName name="TítuloColuna5">Tarefas_de_maio[[#Headers],[Dia da semana]]</definedName>
    <definedName name="TítuloColuna6">Tarefas_de_junho[[#Headers],[Dia da semana]]</definedName>
    <definedName name="TítuloColuna7">Tarefas_de_julho[[#Headers],[Dia da semana]]</definedName>
    <definedName name="TítuloColuna8">Tarefas_de_agosto[[#Headers],[Dia da semana]]</definedName>
    <definedName name="TítuloColuna9">Tarefas_de_setembro[[#Headers],[Dia da semana]]</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1" l="1"/>
  <c r="I8" i="18" l="1"/>
  <c r="E8" i="18"/>
  <c r="H7" i="18"/>
  <c r="D7" i="18"/>
  <c r="G6" i="18"/>
  <c r="C6" i="18"/>
  <c r="F5" i="18"/>
  <c r="I4" i="18"/>
  <c r="E4" i="18"/>
  <c r="H3" i="18"/>
  <c r="D3" i="18"/>
  <c r="H8" i="18"/>
  <c r="D8" i="18"/>
  <c r="G7" i="18"/>
  <c r="C7" i="18"/>
  <c r="F6" i="18"/>
  <c r="I5" i="18"/>
  <c r="E5" i="18"/>
  <c r="H4" i="18"/>
  <c r="D4" i="18"/>
  <c r="G3" i="18"/>
  <c r="C3" i="18"/>
  <c r="C8" i="18"/>
  <c r="F7" i="18"/>
  <c r="I6" i="18"/>
  <c r="E6" i="18"/>
  <c r="H5" i="18"/>
  <c r="D5" i="18"/>
  <c r="G4" i="18"/>
  <c r="C4" i="18"/>
  <c r="F3" i="18"/>
  <c r="F8" i="18"/>
  <c r="I7" i="18"/>
  <c r="E7" i="18"/>
  <c r="H6" i="18"/>
  <c r="D6" i="18"/>
  <c r="G5" i="18"/>
  <c r="C5" i="18"/>
  <c r="F4" i="18"/>
  <c r="I3" i="18"/>
  <c r="E3" i="18"/>
  <c r="G8" i="18"/>
  <c r="B1" i="18"/>
  <c r="B1" i="22"/>
  <c r="B1" i="26"/>
  <c r="B1" i="19"/>
  <c r="B1" i="23"/>
  <c r="B1" i="6"/>
  <c r="B1" i="20"/>
  <c r="B1" i="24"/>
  <c r="B1" i="17"/>
  <c r="B1" i="21"/>
  <c r="B1" i="25"/>
  <c r="H8" i="26"/>
  <c r="D8" i="26"/>
  <c r="G7" i="26"/>
  <c r="C7" i="26"/>
  <c r="F6" i="26"/>
  <c r="I5" i="26"/>
  <c r="E5" i="26"/>
  <c r="H4" i="26"/>
  <c r="D4" i="26"/>
  <c r="G3" i="26"/>
  <c r="C3" i="26"/>
  <c r="G8" i="26"/>
  <c r="C8" i="26"/>
  <c r="F7" i="26"/>
  <c r="I6" i="26"/>
  <c r="E6" i="26"/>
  <c r="H5" i="26"/>
  <c r="D5" i="26"/>
  <c r="G4" i="26"/>
  <c r="C4" i="26"/>
  <c r="F3" i="26"/>
  <c r="F8" i="26"/>
  <c r="I7" i="26"/>
  <c r="E7" i="26"/>
  <c r="H6" i="26"/>
  <c r="D6" i="26"/>
  <c r="G5" i="26"/>
  <c r="C5" i="26"/>
  <c r="F4" i="26"/>
  <c r="I3" i="26"/>
  <c r="E3" i="26"/>
  <c r="I8" i="26"/>
  <c r="E8" i="26"/>
  <c r="H7" i="26"/>
  <c r="D7" i="26"/>
  <c r="G6" i="26"/>
  <c r="C6" i="26"/>
  <c r="F5" i="26"/>
  <c r="I4" i="26"/>
  <c r="E4" i="26"/>
  <c r="H3" i="26"/>
  <c r="D3" i="26"/>
  <c r="I8" i="25"/>
  <c r="E8" i="25"/>
  <c r="H7" i="25"/>
  <c r="D7" i="25"/>
  <c r="G6" i="25"/>
  <c r="C6" i="25"/>
  <c r="F5" i="25"/>
  <c r="I4" i="25"/>
  <c r="E4" i="25"/>
  <c r="H3" i="25"/>
  <c r="D3" i="25"/>
  <c r="G7" i="25"/>
  <c r="F6" i="25"/>
  <c r="I5" i="25"/>
  <c r="H4" i="25"/>
  <c r="G3" i="25"/>
  <c r="I3" i="25"/>
  <c r="H8" i="25"/>
  <c r="D8" i="25"/>
  <c r="C7" i="25"/>
  <c r="E5" i="25"/>
  <c r="D4" i="25"/>
  <c r="C3" i="25"/>
  <c r="E3" i="25"/>
  <c r="G8" i="25"/>
  <c r="C8" i="25"/>
  <c r="F7" i="25"/>
  <c r="I6" i="25"/>
  <c r="E6" i="25"/>
  <c r="H5" i="25"/>
  <c r="D5" i="25"/>
  <c r="G4" i="25"/>
  <c r="C4" i="25"/>
  <c r="F3" i="25"/>
  <c r="F8" i="25"/>
  <c r="I7" i="25"/>
  <c r="E7" i="25"/>
  <c r="H6" i="25"/>
  <c r="D6" i="25"/>
  <c r="G5" i="25"/>
  <c r="C5" i="25"/>
  <c r="F4" i="25"/>
  <c r="I8" i="24"/>
  <c r="E8" i="24"/>
  <c r="H7" i="24"/>
  <c r="D7" i="24"/>
  <c r="G6" i="24"/>
  <c r="C6" i="24"/>
  <c r="F5" i="24"/>
  <c r="I4" i="24"/>
  <c r="E4" i="24"/>
  <c r="H3" i="24"/>
  <c r="D3" i="24"/>
  <c r="H8" i="24"/>
  <c r="D8" i="24"/>
  <c r="G7" i="24"/>
  <c r="C7" i="24"/>
  <c r="F6" i="24"/>
  <c r="I5" i="24"/>
  <c r="E5" i="24"/>
  <c r="H4" i="24"/>
  <c r="D4" i="24"/>
  <c r="G3" i="24"/>
  <c r="C3" i="24"/>
  <c r="G8" i="24"/>
  <c r="C8" i="24"/>
  <c r="F7" i="24"/>
  <c r="I6" i="24"/>
  <c r="E6" i="24"/>
  <c r="H5" i="24"/>
  <c r="D5" i="24"/>
  <c r="G4" i="24"/>
  <c r="C4" i="24"/>
  <c r="F3" i="24"/>
  <c r="F8" i="24"/>
  <c r="I7" i="24"/>
  <c r="E7" i="24"/>
  <c r="H6" i="24"/>
  <c r="D6" i="24"/>
  <c r="G5" i="24"/>
  <c r="C5" i="24"/>
  <c r="F4" i="24"/>
  <c r="I3" i="24"/>
  <c r="E3" i="24"/>
  <c r="I8" i="23"/>
  <c r="E8" i="23"/>
  <c r="H7" i="23"/>
  <c r="D7" i="23"/>
  <c r="G6" i="23"/>
  <c r="C6" i="23"/>
  <c r="F5" i="23"/>
  <c r="I4" i="23"/>
  <c r="E4" i="23"/>
  <c r="H3" i="23"/>
  <c r="D3" i="23"/>
  <c r="D4" i="23"/>
  <c r="C3" i="23"/>
  <c r="G8" i="23"/>
  <c r="F7" i="23"/>
  <c r="H5" i="23"/>
  <c r="D5" i="23"/>
  <c r="C4" i="23"/>
  <c r="F8" i="23"/>
  <c r="E7" i="23"/>
  <c r="D6" i="23"/>
  <c r="C5" i="23"/>
  <c r="I3" i="23"/>
  <c r="H8" i="23"/>
  <c r="D8" i="23"/>
  <c r="G7" i="23"/>
  <c r="C7" i="23"/>
  <c r="F6" i="23"/>
  <c r="I5" i="23"/>
  <c r="E5" i="23"/>
  <c r="H4" i="23"/>
  <c r="G3" i="23"/>
  <c r="C8" i="23"/>
  <c r="I6" i="23"/>
  <c r="E6" i="23"/>
  <c r="G4" i="23"/>
  <c r="F3" i="23"/>
  <c r="I7" i="23"/>
  <c r="H6" i="23"/>
  <c r="G5" i="23"/>
  <c r="F4" i="23"/>
  <c r="E3" i="23"/>
  <c r="I8" i="22"/>
  <c r="G6" i="22"/>
  <c r="I4" i="22"/>
  <c r="H3" i="22"/>
  <c r="H8" i="22"/>
  <c r="D8" i="22"/>
  <c r="G7" i="22"/>
  <c r="C7" i="22"/>
  <c r="F6" i="22"/>
  <c r="I5" i="22"/>
  <c r="E5" i="22"/>
  <c r="H4" i="22"/>
  <c r="D4" i="22"/>
  <c r="G3" i="22"/>
  <c r="C3" i="22"/>
  <c r="G8" i="22"/>
  <c r="C8" i="22"/>
  <c r="F7" i="22"/>
  <c r="I6" i="22"/>
  <c r="E6" i="22"/>
  <c r="H5" i="22"/>
  <c r="D5" i="22"/>
  <c r="G4" i="22"/>
  <c r="C4" i="22"/>
  <c r="F3" i="22"/>
  <c r="F8" i="22"/>
  <c r="I7" i="22"/>
  <c r="E7" i="22"/>
  <c r="H6" i="22"/>
  <c r="D6" i="22"/>
  <c r="G5" i="22"/>
  <c r="C5" i="22"/>
  <c r="F4" i="22"/>
  <c r="I3" i="22"/>
  <c r="E3" i="22"/>
  <c r="E8" i="22"/>
  <c r="H7" i="22"/>
  <c r="D7" i="22"/>
  <c r="C6" i="22"/>
  <c r="F5" i="22"/>
  <c r="E4" i="22"/>
  <c r="D3" i="22"/>
  <c r="I8" i="21"/>
  <c r="E8" i="21"/>
  <c r="H7" i="21"/>
  <c r="D7" i="21"/>
  <c r="G6" i="21"/>
  <c r="C6" i="21"/>
  <c r="F5" i="21"/>
  <c r="I4" i="21"/>
  <c r="E4" i="21"/>
  <c r="H3" i="21"/>
  <c r="D3" i="21"/>
  <c r="H8" i="21"/>
  <c r="D8" i="21"/>
  <c r="G7" i="21"/>
  <c r="C7" i="21"/>
  <c r="F6" i="21"/>
  <c r="I5" i="21"/>
  <c r="E5" i="21"/>
  <c r="H4" i="21"/>
  <c r="G3" i="21"/>
  <c r="G8" i="21"/>
  <c r="C8" i="21"/>
  <c r="F7" i="21"/>
  <c r="I6" i="21"/>
  <c r="E6" i="21"/>
  <c r="H5" i="21"/>
  <c r="D5" i="21"/>
  <c r="G4" i="21"/>
  <c r="C4" i="21"/>
  <c r="F3" i="21"/>
  <c r="F8" i="21"/>
  <c r="I7" i="21"/>
  <c r="E7" i="21"/>
  <c r="H6" i="21"/>
  <c r="D6" i="21"/>
  <c r="G5" i="21"/>
  <c r="C5" i="21"/>
  <c r="F4" i="21"/>
  <c r="I3" i="21"/>
  <c r="E3" i="21"/>
  <c r="D4" i="21"/>
  <c r="C3" i="21"/>
  <c r="I8" i="20"/>
  <c r="E8" i="20"/>
  <c r="H7" i="20"/>
  <c r="D7" i="20"/>
  <c r="G6" i="20"/>
  <c r="C6" i="20"/>
  <c r="F5" i="20"/>
  <c r="I4" i="20"/>
  <c r="E4" i="20"/>
  <c r="H3" i="20"/>
  <c r="D3" i="20"/>
  <c r="H8" i="20"/>
  <c r="D8" i="20"/>
  <c r="G7" i="20"/>
  <c r="C7" i="20"/>
  <c r="F6" i="20"/>
  <c r="I5" i="20"/>
  <c r="E5" i="20"/>
  <c r="H4" i="20"/>
  <c r="D4" i="20"/>
  <c r="G3" i="20"/>
  <c r="C3" i="20"/>
  <c r="G8" i="20"/>
  <c r="C8" i="20"/>
  <c r="F7" i="20"/>
  <c r="I6" i="20"/>
  <c r="E6" i="20"/>
  <c r="H5" i="20"/>
  <c r="D5" i="20"/>
  <c r="G4" i="20"/>
  <c r="C4" i="20"/>
  <c r="F3" i="20"/>
  <c r="F8" i="20"/>
  <c r="I7" i="20"/>
  <c r="E7" i="20"/>
  <c r="H6" i="20"/>
  <c r="D6" i="20"/>
  <c r="G5" i="20"/>
  <c r="C5" i="20"/>
  <c r="F4" i="20"/>
  <c r="I3" i="20"/>
  <c r="E3" i="20"/>
  <c r="I8" i="19"/>
  <c r="E8" i="19"/>
  <c r="H7" i="19"/>
  <c r="D7" i="19"/>
  <c r="G6" i="19"/>
  <c r="C6" i="19"/>
  <c r="F5" i="19"/>
  <c r="I4" i="19"/>
  <c r="E4" i="19"/>
  <c r="H3" i="19"/>
  <c r="D3" i="19"/>
  <c r="G3" i="19"/>
  <c r="G8" i="19"/>
  <c r="F7" i="19"/>
  <c r="E6" i="19"/>
  <c r="D5" i="19"/>
  <c r="C4" i="19"/>
  <c r="I3" i="19"/>
  <c r="H8" i="19"/>
  <c r="D8" i="19"/>
  <c r="G7" i="19"/>
  <c r="C7" i="19"/>
  <c r="F6" i="19"/>
  <c r="I5" i="19"/>
  <c r="E5" i="19"/>
  <c r="H4" i="19"/>
  <c r="D4" i="19"/>
  <c r="C3" i="19"/>
  <c r="I6" i="19"/>
  <c r="H5" i="19"/>
  <c r="G4" i="19"/>
  <c r="F3" i="19"/>
  <c r="E3" i="19"/>
  <c r="C8" i="19"/>
  <c r="F8" i="19"/>
  <c r="I7" i="19"/>
  <c r="E7" i="19"/>
  <c r="H6" i="19"/>
  <c r="D6" i="19"/>
  <c r="G5" i="19"/>
  <c r="C5" i="19"/>
  <c r="F4" i="19"/>
  <c r="I8" i="17"/>
  <c r="E8" i="17"/>
  <c r="H7" i="17"/>
  <c r="D7" i="17"/>
  <c r="G6" i="17"/>
  <c r="C6" i="17"/>
  <c r="F5" i="17"/>
  <c r="I4" i="17"/>
  <c r="E4" i="17"/>
  <c r="H3" i="17"/>
  <c r="D3" i="17"/>
  <c r="C8" i="17"/>
  <c r="I6" i="17"/>
  <c r="H5" i="17"/>
  <c r="G4" i="17"/>
  <c r="F3" i="17"/>
  <c r="E7" i="17"/>
  <c r="D6" i="17"/>
  <c r="C5" i="17"/>
  <c r="I3" i="17"/>
  <c r="H8" i="17"/>
  <c r="D8" i="17"/>
  <c r="G7" i="17"/>
  <c r="C7" i="17"/>
  <c r="F6" i="17"/>
  <c r="I5" i="17"/>
  <c r="E5" i="17"/>
  <c r="H4" i="17"/>
  <c r="D4" i="17"/>
  <c r="G3" i="17"/>
  <c r="C3" i="17"/>
  <c r="G8" i="17"/>
  <c r="F7" i="17"/>
  <c r="E6" i="17"/>
  <c r="D5" i="17"/>
  <c r="C4" i="17"/>
  <c r="F8" i="17"/>
  <c r="I7" i="17"/>
  <c r="H6" i="17"/>
  <c r="G5" i="17"/>
  <c r="F4" i="17"/>
  <c r="E3" i="17"/>
  <c r="I8" i="6"/>
  <c r="E8" i="6"/>
  <c r="H7" i="6"/>
  <c r="D7" i="6"/>
  <c r="G6" i="6"/>
  <c r="C6" i="6"/>
  <c r="F5" i="6"/>
  <c r="I4" i="6"/>
  <c r="E4" i="6"/>
  <c r="H3" i="6"/>
  <c r="D3" i="6"/>
  <c r="H8" i="6"/>
  <c r="D8" i="6"/>
  <c r="G7" i="6"/>
  <c r="C7" i="6"/>
  <c r="F6" i="6"/>
  <c r="I5" i="6"/>
  <c r="E5" i="6"/>
  <c r="H4" i="6"/>
  <c r="D4" i="6"/>
  <c r="G3" i="6"/>
  <c r="C3" i="6"/>
  <c r="G8" i="6"/>
  <c r="C8" i="6"/>
  <c r="F7" i="6"/>
  <c r="I6" i="6"/>
  <c r="E6" i="6"/>
  <c r="H5" i="6"/>
  <c r="D5" i="6"/>
  <c r="G4" i="6"/>
  <c r="C4" i="6"/>
  <c r="F3" i="6"/>
  <c r="F8" i="6"/>
  <c r="I7" i="6"/>
  <c r="E7" i="6"/>
  <c r="H6" i="6"/>
  <c r="D6" i="6"/>
  <c r="G5" i="6"/>
  <c r="C5" i="6"/>
  <c r="F4" i="6"/>
  <c r="I3" i="6"/>
  <c r="E3" i="6"/>
  <c r="I8" i="1"/>
  <c r="H8" i="1"/>
  <c r="D8" i="1"/>
  <c r="G7" i="1"/>
  <c r="C7" i="1"/>
  <c r="F6" i="1"/>
  <c r="I5" i="1"/>
  <c r="E5" i="1"/>
  <c r="H4" i="1"/>
  <c r="D4" i="1"/>
  <c r="G3" i="1"/>
  <c r="C3" i="1"/>
  <c r="E7" i="1"/>
  <c r="D6" i="1"/>
  <c r="C5" i="1"/>
  <c r="I3" i="1"/>
  <c r="H7" i="1"/>
  <c r="G6" i="1"/>
  <c r="F5" i="1"/>
  <c r="E4" i="1"/>
  <c r="D3" i="1"/>
  <c r="G8" i="1"/>
  <c r="C8" i="1"/>
  <c r="F7" i="1"/>
  <c r="I6" i="1"/>
  <c r="E6" i="1"/>
  <c r="H5" i="1"/>
  <c r="D5" i="1"/>
  <c r="G4" i="1"/>
  <c r="C4" i="1"/>
  <c r="F3" i="1"/>
  <c r="F8" i="1"/>
  <c r="I7" i="1"/>
  <c r="H6" i="1"/>
  <c r="G5" i="1"/>
  <c r="F4" i="1"/>
  <c r="E3" i="1"/>
  <c r="E8" i="1"/>
  <c r="D7" i="1"/>
  <c r="C6" i="1"/>
  <c r="I4" i="1"/>
  <c r="H3" i="1"/>
</calcChain>
</file>

<file path=xl/sharedStrings.xml><?xml version="1.0" encoding="utf-8"?>
<sst xmlns="http://schemas.openxmlformats.org/spreadsheetml/2006/main" count="772" uniqueCount="39">
  <si>
    <t>Dia da semana</t>
  </si>
  <si>
    <t>Hora</t>
  </si>
  <si>
    <t>Aula</t>
  </si>
  <si>
    <t>JAN</t>
  </si>
  <si>
    <t>AGENDA SEMANAL</t>
  </si>
  <si>
    <t>SEG</t>
  </si>
  <si>
    <t>8:00</t>
  </si>
  <si>
    <t>Francês</t>
  </si>
  <si>
    <t>10:00</t>
  </si>
  <si>
    <t>Matemática</t>
  </si>
  <si>
    <t>Inglês</t>
  </si>
  <si>
    <t>Insira o ano civil na célula B1 à esquerda.</t>
  </si>
  <si>
    <t>DOM</t>
  </si>
  <si>
    <t>TERÇA</t>
  </si>
  <si>
    <t>9:00</t>
  </si>
  <si>
    <t>História da Arte</t>
  </si>
  <si>
    <t>Programação</t>
  </si>
  <si>
    <t>TER</t>
  </si>
  <si>
    <t>QUA</t>
  </si>
  <si>
    <t>QUI</t>
  </si>
  <si>
    <t>QUINTA</t>
  </si>
  <si>
    <t>SEX</t>
  </si>
  <si>
    <t>SÁB</t>
  </si>
  <si>
    <t>dia do calendário</t>
  </si>
  <si>
    <t>TAREFAS</t>
  </si>
  <si>
    <t>Francês: Entregar primeiro rascunho do ensaio em</t>
  </si>
  <si>
    <t>História da Arte: Teste</t>
  </si>
  <si>
    <t>FEV</t>
  </si>
  <si>
    <t>MAR</t>
  </si>
  <si>
    <t>ABR</t>
  </si>
  <si>
    <t xml:space="preserve"> </t>
  </si>
  <si>
    <t>MAIO</t>
  </si>
  <si>
    <t>JUN</t>
  </si>
  <si>
    <t>JUL</t>
  </si>
  <si>
    <t>AGO</t>
  </si>
  <si>
    <t>SET</t>
  </si>
  <si>
    <t>OUT</t>
  </si>
  <si>
    <t>NOV</t>
  </si>
  <si>
    <t>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</si>
</sst>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numFmt numFmtId="169" formatCode="[$-416]mmmmm;@"/>
  </numFmts>
  <fonts count="28" x14ac:knownFonts="1">
    <font>
      <sz val="11"/>
      <color theme="1"/>
      <name val="Arial"/>
      <family val="2"/>
      <scheme val="minor"/>
    </font>
    <font>
      <sz val="11"/>
      <color theme="1"/>
      <name val="Arial"/>
      <family val="2"/>
      <scheme val="minor"/>
    </font>
    <font>
      <sz val="8"/>
      <name val="Arial"/>
      <family val="2"/>
      <scheme val="minor"/>
    </font>
    <font>
      <sz val="10"/>
      <color theme="1" tint="0.249977111117893"/>
      <name val="Arial"/>
      <family val="2"/>
      <scheme val="minor"/>
    </font>
    <font>
      <sz val="12"/>
      <color theme="1" tint="0.249977111117893"/>
      <name val="Arial"/>
      <family val="2"/>
      <scheme val="minor"/>
    </font>
    <font>
      <sz val="11"/>
      <color theme="1"/>
      <name val="Arial"/>
      <family val="2"/>
      <scheme val="minor"/>
    </font>
    <font>
      <sz val="11"/>
      <color theme="0"/>
      <name val="Arial"/>
      <family val="2"/>
      <scheme val="minor"/>
    </font>
    <font>
      <b/>
      <sz val="24"/>
      <color theme="4" tint="-0.499984740745262"/>
      <name val="Arial"/>
      <family val="2"/>
      <scheme val="minor"/>
    </font>
    <font>
      <b/>
      <sz val="17"/>
      <color theme="4" tint="-0.499984740745262"/>
      <name val="Arial"/>
      <family val="2"/>
      <scheme val="minor"/>
    </font>
    <font>
      <b/>
      <sz val="12"/>
      <color theme="4" tint="-0.499984740745262"/>
      <name val="Arial"/>
      <family val="2"/>
      <scheme val="minor"/>
    </font>
    <font>
      <b/>
      <sz val="11"/>
      <color theme="4" tint="-0.499984740745262"/>
      <name val="Arial"/>
      <family val="2"/>
      <scheme val="minor"/>
    </font>
    <font>
      <b/>
      <sz val="11"/>
      <color theme="1"/>
      <name val="Arial"/>
      <family val="2"/>
      <scheme val="minor"/>
    </font>
    <font>
      <b/>
      <sz val="18"/>
      <color theme="4" tint="-0.499984740745262"/>
      <name val="Arial"/>
      <family val="2"/>
      <scheme val="major"/>
    </font>
    <font>
      <sz val="11"/>
      <name val="Arial"/>
      <family val="2"/>
      <scheme val="minor"/>
    </font>
    <font>
      <sz val="11"/>
      <color indexed="8"/>
      <name val="Arial"/>
      <family val="2"/>
      <scheme val="major"/>
    </font>
    <font>
      <sz val="11"/>
      <color theme="1"/>
      <name val="Arial"/>
      <family val="2"/>
      <scheme val="minor"/>
    </font>
    <font>
      <b/>
      <sz val="18"/>
      <color theme="4" tint="-0.499984740745262"/>
      <name val="Arial"/>
      <family val="2"/>
      <scheme val="major"/>
    </font>
    <font>
      <b/>
      <sz val="11"/>
      <color theme="4" tint="-0.499984740745262"/>
      <name val="Arial"/>
      <family val="2"/>
      <scheme val="minor"/>
    </font>
    <font>
      <sz val="11"/>
      <color theme="0"/>
      <name val="Arial"/>
      <family val="2"/>
      <scheme val="minor"/>
    </font>
    <font>
      <b/>
      <sz val="17"/>
      <color theme="4" tint="-0.499984740745262"/>
      <name val="Arial"/>
      <family val="2"/>
      <scheme val="minor"/>
    </font>
    <font>
      <b/>
      <sz val="24"/>
      <color theme="4" tint="-0.499984740745262"/>
      <name val="Arial"/>
      <family val="2"/>
      <scheme val="minor"/>
    </font>
    <font>
      <sz val="12"/>
      <color theme="1" tint="0.249977111117893"/>
      <name val="Arial"/>
      <family val="2"/>
      <scheme val="minor"/>
    </font>
    <font>
      <b/>
      <sz val="12"/>
      <color theme="4" tint="-0.499984740745262"/>
      <name val="Arial"/>
      <family val="2"/>
      <scheme val="minor"/>
    </font>
    <font>
      <b/>
      <sz val="11"/>
      <color theme="1"/>
      <name val="Arial"/>
      <family val="2"/>
      <scheme val="minor"/>
    </font>
    <font>
      <sz val="11"/>
      <name val="Arial"/>
      <family val="2"/>
      <scheme val="minor"/>
    </font>
    <font>
      <sz val="11"/>
      <color theme="1"/>
      <name val="Arial"/>
      <family val="2"/>
      <scheme val="major"/>
    </font>
    <font>
      <u/>
      <sz val="11"/>
      <color theme="1"/>
      <name val="Arial"/>
      <family val="2"/>
      <scheme val="minor"/>
    </font>
    <font>
      <u/>
      <sz val="11"/>
      <color theme="1"/>
      <name val="Arial"/>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4" tint="-0.499984740745262"/>
        <bgColor indexed="64"/>
      </patternFill>
    </fill>
  </fills>
  <borders count="11">
    <border>
      <left/>
      <right/>
      <top/>
      <bottom/>
      <diagonal/>
    </border>
    <border>
      <left style="thin">
        <color theme="4" tint="0.79998168889431442"/>
      </left>
      <right style="thin">
        <color theme="0"/>
      </right>
      <top/>
      <bottom/>
      <diagonal/>
    </border>
    <border>
      <left/>
      <right style="thin">
        <color theme="4" tint="0.79998168889431442"/>
      </right>
      <top/>
      <bottom/>
      <diagonal/>
    </border>
    <border>
      <left style="thin">
        <color theme="0"/>
      </left>
      <right/>
      <top/>
      <bottom/>
      <diagonal/>
    </border>
    <border>
      <left style="thin">
        <color theme="0"/>
      </left>
      <right/>
      <top style="thin">
        <color theme="0"/>
      </top>
      <bottom/>
      <diagonal/>
    </border>
    <border>
      <left style="thin">
        <color rgb="FFB2B2B2"/>
      </left>
      <right style="thin">
        <color rgb="FFB2B2B2"/>
      </right>
      <top style="thin">
        <color rgb="FFB2B2B2"/>
      </top>
      <bottom style="thin">
        <color rgb="FFB2B2B2"/>
      </bottom>
      <diagonal/>
    </border>
    <border>
      <left/>
      <right/>
      <top style="thin">
        <color theme="4" tint="-0.499984740745262"/>
      </top>
      <bottom/>
      <diagonal/>
    </border>
    <border>
      <left/>
      <right/>
      <top/>
      <bottom style="thin">
        <color theme="4" tint="-0.499984740745262"/>
      </bottom>
      <diagonal/>
    </border>
    <border>
      <left style="thin">
        <color theme="4" tint="0.79998168889431442"/>
      </left>
      <right/>
      <top/>
      <bottom/>
      <diagonal/>
    </border>
    <border>
      <left/>
      <right style="thin">
        <color theme="4" tint="-0.499984740745262"/>
      </right>
      <top/>
      <bottom/>
      <diagonal/>
    </border>
    <border>
      <left style="thin">
        <color theme="0"/>
      </left>
      <right style="thin">
        <color theme="0"/>
      </right>
      <top/>
      <bottom/>
      <diagonal/>
    </border>
  </borders>
  <cellStyleXfs count="22">
    <xf numFmtId="0" fontId="0" fillId="0" borderId="0">
      <alignment wrapText="1"/>
    </xf>
    <xf numFmtId="0" fontId="12" fillId="0" borderId="0" applyFill="0" applyBorder="0" applyProtection="0">
      <alignment horizontal="center" vertical="center"/>
    </xf>
    <xf numFmtId="169" fontId="7" fillId="0" borderId="0" applyFill="0" applyBorder="0" applyProtection="0">
      <alignment horizontal="center" vertical="center"/>
    </xf>
    <xf numFmtId="0" fontId="8" fillId="0" borderId="0" applyFill="0" applyProtection="0">
      <alignment horizontal="left" vertical="center" indent="2"/>
    </xf>
    <xf numFmtId="0" fontId="9" fillId="0" borderId="0" applyNumberFormat="0" applyFill="0" applyBorder="0" applyProtection="0">
      <alignment horizontal="left" vertical="center"/>
    </xf>
    <xf numFmtId="0" fontId="9" fillId="0" borderId="0" applyFill="0" applyBorder="0" applyProtection="0"/>
    <xf numFmtId="167"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0" fontId="5" fillId="3" borderId="5" applyNumberFormat="0" applyAlignment="0" applyProtection="0"/>
    <xf numFmtId="0" fontId="6" fillId="4" borderId="1">
      <alignment horizontal="left" indent="1"/>
    </xf>
    <xf numFmtId="0" fontId="10" fillId="0" borderId="0">
      <alignment vertical="center"/>
    </xf>
    <xf numFmtId="0" fontId="10" fillId="0" borderId="6" applyNumberFormat="0" applyFont="0" applyFill="0" applyAlignment="0" applyProtection="0">
      <alignment horizontal="left" vertical="center" indent="2"/>
    </xf>
    <xf numFmtId="1" fontId="11" fillId="0" borderId="0" applyFill="0" applyBorder="0">
      <alignment horizontal="center"/>
    </xf>
    <xf numFmtId="0" fontId="13" fillId="0" borderId="7" applyNumberFormat="0" applyFont="0" applyFill="0" applyAlignment="0" applyProtection="0">
      <alignment horizontal="center"/>
    </xf>
    <xf numFmtId="0" fontId="13" fillId="0" borderId="9" applyNumberFormat="0" applyFont="0" applyFill="0" applyAlignment="0" applyProtection="0"/>
    <xf numFmtId="168" fontId="4" fillId="0" borderId="0" applyNumberFormat="0" applyFill="0" applyBorder="0">
      <alignment horizontal="left" vertical="center" indent="1"/>
    </xf>
    <xf numFmtId="0" fontId="13" fillId="2" borderId="0" applyFont="0" applyBorder="0">
      <alignment horizontal="left" vertical="top" indent="1"/>
    </xf>
    <xf numFmtId="0" fontId="6" fillId="0" borderId="0" applyNumberFormat="0" applyFill="0" applyBorder="0" applyAlignment="0">
      <alignment wrapText="1"/>
    </xf>
    <xf numFmtId="20" fontId="13" fillId="2" borderId="0" applyFill="0" applyBorder="0">
      <alignment horizontal="left" indent="1"/>
    </xf>
  </cellStyleXfs>
  <cellXfs count="86">
    <xf numFmtId="0" fontId="0" fillId="0" borderId="0" xfId="0">
      <alignment wrapText="1"/>
    </xf>
    <xf numFmtId="0" fontId="0" fillId="0" borderId="0" xfId="0" applyFont="1">
      <alignment wrapText="1"/>
    </xf>
    <xf numFmtId="0" fontId="0" fillId="0" borderId="0" xfId="0">
      <alignment wrapText="1"/>
    </xf>
    <xf numFmtId="0" fontId="9" fillId="0" borderId="6" xfId="14" applyFont="1" applyAlignment="1">
      <alignment vertical="center"/>
    </xf>
    <xf numFmtId="168" fontId="4" fillId="0" borderId="0" xfId="18" applyNumberFormat="1" applyFill="1" applyBorder="1">
      <alignment horizontal="left" vertical="center" indent="1"/>
    </xf>
    <xf numFmtId="0" fontId="4" fillId="0" borderId="6" xfId="14" applyNumberFormat="1" applyFont="1" applyAlignment="1">
      <alignment horizontal="left" vertical="center" indent="1"/>
    </xf>
    <xf numFmtId="0" fontId="0" fillId="0" borderId="0" xfId="14" applyFont="1" applyBorder="1" applyAlignment="1">
      <alignment wrapText="1"/>
    </xf>
    <xf numFmtId="0" fontId="9" fillId="0" borderId="0" xfId="5"/>
    <xf numFmtId="0" fontId="8" fillId="0" borderId="0" xfId="3">
      <alignment horizontal="left" vertical="center" indent="2"/>
    </xf>
    <xf numFmtId="0" fontId="12" fillId="0" borderId="0" xfId="1">
      <alignment horizontal="center" vertical="center"/>
    </xf>
    <xf numFmtId="0" fontId="0" fillId="0" borderId="9" xfId="17" applyFont="1" applyAlignment="1">
      <alignment wrapText="1"/>
    </xf>
    <xf numFmtId="0" fontId="9" fillId="0" borderId="0" xfId="4">
      <alignment horizontal="left" vertical="center"/>
    </xf>
    <xf numFmtId="0" fontId="0" fillId="0" borderId="0" xfId="0">
      <alignment wrapText="1"/>
    </xf>
    <xf numFmtId="0" fontId="0" fillId="0" borderId="7" xfId="16" applyFont="1" applyAlignment="1">
      <alignment wrapText="1"/>
    </xf>
    <xf numFmtId="1" fontId="11" fillId="0" borderId="7" xfId="15" applyBorder="1">
      <alignment horizontal="center"/>
    </xf>
    <xf numFmtId="0" fontId="6" fillId="0" borderId="0" xfId="20">
      <alignment wrapText="1"/>
    </xf>
    <xf numFmtId="0" fontId="9" fillId="0" borderId="7" xfId="5" applyBorder="1"/>
    <xf numFmtId="1" fontId="11" fillId="0" borderId="6" xfId="15" applyBorder="1">
      <alignment horizontal="center"/>
    </xf>
    <xf numFmtId="20" fontId="13" fillId="2" borderId="0" xfId="21">
      <alignment horizontal="left" indent="1"/>
    </xf>
    <xf numFmtId="20" fontId="13" fillId="2" borderId="3" xfId="21" applyBorder="1">
      <alignment horizontal="left" indent="1"/>
    </xf>
    <xf numFmtId="169" fontId="7" fillId="0" borderId="6" xfId="2" applyBorder="1">
      <alignment horizontal="center" vertical="center"/>
    </xf>
    <xf numFmtId="20" fontId="13" fillId="2" borderId="4" xfId="21" applyBorder="1">
      <alignment horizontal="left" indent="1"/>
    </xf>
    <xf numFmtId="0" fontId="6" fillId="4" borderId="1" xfId="12">
      <alignment horizontal="left" indent="1"/>
    </xf>
    <xf numFmtId="0" fontId="6" fillId="0" borderId="9" xfId="20" applyBorder="1" applyAlignment="1">
      <alignment wrapText="1"/>
    </xf>
    <xf numFmtId="0" fontId="0" fillId="2" borderId="0" xfId="19" applyFont="1">
      <alignment horizontal="left" vertical="top" indent="1"/>
    </xf>
    <xf numFmtId="0" fontId="0" fillId="2" borderId="7" xfId="19" applyFont="1" applyBorder="1">
      <alignment horizontal="left" vertical="top" indent="1"/>
    </xf>
    <xf numFmtId="0" fontId="1" fillId="2" borderId="0" xfId="19" applyFont="1">
      <alignment horizontal="left" vertical="top" indent="1"/>
    </xf>
    <xf numFmtId="0" fontId="9" fillId="0" borderId="6" xfId="5" applyBorder="1"/>
    <xf numFmtId="0" fontId="1" fillId="2" borderId="7" xfId="19" applyFont="1" applyBorder="1">
      <alignment horizontal="left" vertical="top" indent="1"/>
    </xf>
    <xf numFmtId="0" fontId="13" fillId="2" borderId="7" xfId="19" applyBorder="1">
      <alignment horizontal="left" vertical="top" indent="1"/>
    </xf>
    <xf numFmtId="0" fontId="9" fillId="0" borderId="7" xfId="5" applyFill="1" applyBorder="1"/>
    <xf numFmtId="0" fontId="6" fillId="4" borderId="0" xfId="17" applyFont="1" applyFill="1" applyBorder="1" applyAlignment="1">
      <alignment horizontal="left" indent="1"/>
    </xf>
    <xf numFmtId="0" fontId="9" fillId="0" borderId="0" xfId="5" applyBorder="1"/>
    <xf numFmtId="1" fontId="11" fillId="0" borderId="0" xfId="15" applyBorder="1">
      <alignment horizontal="center"/>
    </xf>
    <xf numFmtId="1" fontId="11" fillId="0" borderId="7" xfId="15" applyFill="1" applyBorder="1">
      <alignment horizontal="center"/>
    </xf>
    <xf numFmtId="0" fontId="0" fillId="0" borderId="0" xfId="0" applyBorder="1" applyAlignment="1">
      <alignment wrapText="1"/>
    </xf>
    <xf numFmtId="0" fontId="0" fillId="0" borderId="7" xfId="16" applyNumberFormat="1" applyFont="1" applyAlignment="1">
      <alignment wrapText="1"/>
    </xf>
    <xf numFmtId="0" fontId="3" fillId="0" borderId="7" xfId="16" applyNumberFormat="1" applyFont="1" applyAlignment="1">
      <alignment wrapText="1"/>
    </xf>
    <xf numFmtId="0" fontId="13" fillId="0" borderId="7" xfId="16" applyNumberFormat="1" applyFill="1" applyAlignment="1"/>
    <xf numFmtId="0" fontId="14" fillId="2" borderId="0" xfId="19" applyFont="1">
      <alignment horizontal="left" vertical="top" indent="1"/>
    </xf>
    <xf numFmtId="0" fontId="15" fillId="0" borderId="0" xfId="0" applyFont="1">
      <alignment wrapText="1"/>
    </xf>
    <xf numFmtId="0" fontId="16" fillId="0" borderId="7" xfId="1" applyFont="1" applyBorder="1">
      <alignment horizontal="center" vertical="center"/>
    </xf>
    <xf numFmtId="0" fontId="17" fillId="0" borderId="0" xfId="13" applyFont="1">
      <alignment vertical="center"/>
    </xf>
    <xf numFmtId="0" fontId="18" fillId="0" borderId="0" xfId="20" applyFont="1">
      <alignment wrapText="1"/>
    </xf>
    <xf numFmtId="0" fontId="19" fillId="0" borderId="0" xfId="3" applyFont="1">
      <alignment horizontal="left" vertical="center" indent="2"/>
    </xf>
    <xf numFmtId="0" fontId="15" fillId="0" borderId="9" xfId="17" applyFont="1" applyAlignment="1">
      <alignment wrapText="1"/>
    </xf>
    <xf numFmtId="169" fontId="20" fillId="0" borderId="0" xfId="2" applyFont="1">
      <alignment horizontal="center" vertical="center"/>
    </xf>
    <xf numFmtId="0" fontId="21" fillId="0" borderId="6" xfId="14" applyNumberFormat="1" applyFont="1" applyAlignment="1">
      <alignment horizontal="left" vertical="center" indent="1"/>
    </xf>
    <xf numFmtId="0" fontId="22" fillId="0" borderId="0" xfId="5" applyFont="1" applyBorder="1"/>
    <xf numFmtId="1" fontId="23" fillId="0" borderId="0" xfId="15" applyFont="1" applyBorder="1">
      <alignment horizontal="center"/>
    </xf>
    <xf numFmtId="0" fontId="15" fillId="0" borderId="0" xfId="0" applyFont="1" applyBorder="1" applyAlignment="1">
      <alignment wrapText="1"/>
    </xf>
    <xf numFmtId="168" fontId="21" fillId="0" borderId="0" xfId="18" applyNumberFormat="1" applyFont="1" applyFill="1" applyBorder="1">
      <alignment horizontal="left" vertical="center" indent="1"/>
    </xf>
    <xf numFmtId="0" fontId="22" fillId="0" borderId="7" xfId="5" applyFont="1" applyBorder="1"/>
    <xf numFmtId="1" fontId="23" fillId="0" borderId="7" xfId="15" applyFont="1" applyBorder="1">
      <alignment horizontal="center"/>
    </xf>
    <xf numFmtId="0" fontId="15" fillId="0" borderId="7" xfId="16" applyNumberFormat="1" applyFont="1" applyAlignment="1">
      <alignment wrapText="1"/>
    </xf>
    <xf numFmtId="0" fontId="15" fillId="0" borderId="7" xfId="16" applyFont="1" applyAlignment="1">
      <alignment wrapText="1"/>
    </xf>
    <xf numFmtId="168" fontId="21" fillId="0" borderId="7" xfId="18" applyNumberFormat="1" applyFont="1" applyFill="1" applyBorder="1">
      <alignment horizontal="left" vertical="center" indent="1"/>
    </xf>
    <xf numFmtId="0" fontId="15" fillId="0" borderId="6" xfId="14" applyFont="1" applyAlignment="1">
      <alignment wrapText="1"/>
    </xf>
    <xf numFmtId="0" fontId="22" fillId="0" borderId="0" xfId="4" applyFont="1">
      <alignment horizontal="left" vertical="center"/>
    </xf>
    <xf numFmtId="0" fontId="15" fillId="0" borderId="0" xfId="14" applyFont="1" applyBorder="1" applyAlignment="1">
      <alignment wrapText="1"/>
    </xf>
    <xf numFmtId="0" fontId="18" fillId="0" borderId="9" xfId="20" applyFont="1" applyBorder="1" applyAlignment="1">
      <alignment wrapText="1"/>
    </xf>
    <xf numFmtId="0" fontId="18" fillId="4" borderId="1" xfId="12" applyFont="1">
      <alignment horizontal="left" indent="1"/>
    </xf>
    <xf numFmtId="0" fontId="18" fillId="4" borderId="0" xfId="17" applyFont="1" applyFill="1" applyBorder="1" applyAlignment="1">
      <alignment horizontal="left" indent="1"/>
    </xf>
    <xf numFmtId="20" fontId="24" fillId="2" borderId="0" xfId="21" applyFont="1">
      <alignment horizontal="left" indent="1"/>
    </xf>
    <xf numFmtId="20" fontId="24" fillId="2" borderId="0" xfId="21" applyFont="1" applyBorder="1">
      <alignment horizontal="left" indent="1"/>
    </xf>
    <xf numFmtId="0" fontId="15" fillId="2" borderId="0" xfId="19" applyFont="1">
      <alignment horizontal="left" vertical="top" indent="1"/>
    </xf>
    <xf numFmtId="0" fontId="15" fillId="2" borderId="0" xfId="19" applyFont="1" applyBorder="1">
      <alignment horizontal="left" vertical="top" indent="1"/>
    </xf>
    <xf numFmtId="0" fontId="25" fillId="2" borderId="0" xfId="19" applyFont="1" applyBorder="1">
      <alignment horizontal="left" vertical="top" indent="1"/>
    </xf>
    <xf numFmtId="20" fontId="24" fillId="2" borderId="9" xfId="21" applyFont="1" applyBorder="1">
      <alignment horizontal="left" indent="1"/>
    </xf>
    <xf numFmtId="0" fontId="15" fillId="2" borderId="7" xfId="19" applyFont="1" applyBorder="1">
      <alignment horizontal="left" vertical="top" indent="1"/>
    </xf>
    <xf numFmtId="0" fontId="22" fillId="0" borderId="0" xfId="5" applyFont="1" applyFill="1" applyBorder="1"/>
    <xf numFmtId="0" fontId="26" fillId="0" borderId="0" xfId="0" applyFont="1">
      <alignment wrapText="1"/>
    </xf>
    <xf numFmtId="0" fontId="27" fillId="0" borderId="0" xfId="0" applyFont="1">
      <alignment wrapText="1"/>
    </xf>
    <xf numFmtId="0" fontId="18" fillId="4" borderId="8" xfId="12" applyFont="1" applyBorder="1">
      <alignment horizontal="left" indent="1"/>
    </xf>
    <xf numFmtId="0" fontId="18" fillId="4" borderId="2" xfId="12" applyFont="1" applyBorder="1">
      <alignment horizontal="left" indent="1"/>
    </xf>
    <xf numFmtId="20" fontId="24" fillId="2" borderId="10" xfId="21" applyFont="1" applyBorder="1">
      <alignment horizontal="left" indent="1"/>
    </xf>
    <xf numFmtId="0" fontId="15" fillId="2" borderId="0" xfId="19" applyFont="1">
      <alignment horizontal="left" vertical="top" indent="1"/>
    </xf>
    <xf numFmtId="0" fontId="15" fillId="2" borderId="7" xfId="19" applyFont="1" applyBorder="1">
      <alignment horizontal="left" vertical="top" indent="1"/>
    </xf>
    <xf numFmtId="20" fontId="24" fillId="2" borderId="0" xfId="21" applyFont="1">
      <alignment horizontal="left" indent="1"/>
    </xf>
    <xf numFmtId="0" fontId="13" fillId="2" borderId="7" xfId="19" applyBorder="1">
      <alignment horizontal="left" vertical="top" indent="1"/>
    </xf>
    <xf numFmtId="0" fontId="1" fillId="2" borderId="0" xfId="19" applyFont="1">
      <alignment horizontal="left" vertical="top" indent="1"/>
    </xf>
    <xf numFmtId="20" fontId="13" fillId="2" borderId="0" xfId="21">
      <alignment horizontal="left" indent="1"/>
    </xf>
    <xf numFmtId="0" fontId="6" fillId="4" borderId="8" xfId="12" applyBorder="1">
      <alignment horizontal="left" indent="1"/>
    </xf>
    <xf numFmtId="0" fontId="6" fillId="4" borderId="2" xfId="12" applyBorder="1">
      <alignment horizontal="left" indent="1"/>
    </xf>
    <xf numFmtId="20" fontId="13" fillId="2" borderId="10" xfId="21" applyBorder="1">
      <alignment horizontal="left" indent="1"/>
    </xf>
    <xf numFmtId="0" fontId="1" fillId="2" borderId="7" xfId="19" applyFont="1" applyBorder="1">
      <alignment horizontal="left" vertical="top" indent="1"/>
    </xf>
  </cellXfs>
  <cellStyles count="22">
    <cellStyle name="Alinhamento do calendário" xfId="18" xr:uid="{00000000-0005-0000-0000-000000000000}"/>
    <cellStyle name="Borda direita" xfId="17" xr:uid="{00000000-0005-0000-0000-000001000000}"/>
    <cellStyle name="Borda inferior" xfId="16" xr:uid="{00000000-0005-0000-0000-000002000000}"/>
    <cellStyle name="Borda superior" xfId="14" xr:uid="{00000000-0005-0000-0000-000003000000}"/>
    <cellStyle name="Data" xfId="15" xr:uid="{00000000-0005-0000-0000-000004000000}"/>
    <cellStyle name="Dias da semana" xfId="12" xr:uid="{00000000-0005-0000-0000-000005000000}"/>
    <cellStyle name="Hora" xfId="21" xr:uid="{00000000-0005-0000-0000-000006000000}"/>
    <cellStyle name="Moeda" xfId="8" builtinId="4" customBuiltin="1"/>
    <cellStyle name="Moeda [0]" xfId="9" builtinId="7" customBuiltin="1"/>
    <cellStyle name="Normal" xfId="0" builtinId="0" customBuiltin="1"/>
    <cellStyle name="Nota" xfId="11" builtinId="10" customBuiltin="1"/>
    <cellStyle name="Porcentagem" xfId="10" builtinId="5" customBuiltin="1"/>
    <cellStyle name="Preenchimento da programação semanal" xfId="19" xr:uid="{00000000-0005-0000-0000-00000C000000}"/>
    <cellStyle name="Rótulo" xfId="13" xr:uid="{00000000-0005-0000-0000-00000D000000}"/>
    <cellStyle name="Separador de milhares [0]" xfId="7" builtinId="6"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ítulo da borda em branco" xfId="20" xr:uid="{00000000-0005-0000-0000-000014000000}"/>
    <cellStyle name="Vírgula" xfId="6" builtinId="3" customBuiltin="1"/>
  </cellStyles>
  <dxfs count="101">
    <dxf>
      <alignment horizontal="general" vertical="bottom" textRotation="0" indent="0" justifyLastLine="0" shrinkToFit="0" readingOrder="0"/>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alignment horizontal="general" vertical="bottom" textRotation="0" indent="0" justifyLastLine="0" shrinkToFit="0" readingOrder="0"/>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alignment horizontal="general" vertical="bottom" textRotation="0" indent="0" justifyLastLine="0" shrinkToFit="0" readingOrder="0"/>
    </dxf>
    <dxf>
      <border>
        <left style="thin">
          <color theme="0"/>
        </left>
        <vertical/>
        <horizontal/>
      </border>
    </dxf>
    <dxf>
      <border>
        <left style="thin">
          <color theme="0"/>
        </left>
        <vertical/>
        <horizontal/>
      </border>
    </dxf>
    <dxf>
      <border>
        <left style="thin">
          <color theme="0"/>
        </left>
        <bottom style="thin">
          <color theme="0"/>
        </bottom>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alignment horizontal="general" vertical="bottom" textRotation="0" indent="0" justifyLastLine="0" shrinkToFit="0" readingOrder="0"/>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alignment horizontal="general" vertical="bottom" textRotation="0" indent="0" justifyLastLine="0" shrinkToFit="0" readingOrder="0"/>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alignment horizontal="general" vertical="bottom" textRotation="0" indent="0" justifyLastLine="0" shrinkToFit="0" readingOrder="0"/>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alignment horizontal="general" vertical="bottom" textRotation="0" indent="0" justifyLastLine="0" shrinkToFit="0" readingOrder="0"/>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alignment horizontal="general" vertical="bottom" textRotation="0" indent="0" justifyLastLine="0" shrinkToFit="0" readingOrder="0"/>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alignment horizontal="general" vertical="bottom" textRotation="0" indent="0" justifyLastLine="0" shrinkToFit="0" readingOrder="0"/>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alignment horizontal="general" vertical="bottom" textRotation="0" indent="0" justifyLastLine="0" shrinkToFit="0" readingOrder="0"/>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alignment horizontal="general" vertical="bottom" textRotation="0" indent="0" justifyLastLine="0" shrinkToFit="0" readingOrder="0"/>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alignment horizontal="general" vertical="bottom" textRotation="0" indent="0" justifyLastLine="0" shrinkToFit="0" readingOrder="0"/>
    </dxf>
    <dxf>
      <border>
        <left style="thin">
          <color theme="0"/>
        </left>
        <vertical/>
        <horizontal/>
      </border>
    </dxf>
    <dxf>
      <border>
        <bottom style="thin">
          <color theme="0"/>
        </bottom>
        <vertical/>
        <horizontal/>
      </border>
    </dxf>
    <dxf>
      <font>
        <b val="0"/>
        <i val="0"/>
      </font>
      <fill>
        <patternFill>
          <bgColor theme="4" tint="0.79998168889431442"/>
        </patternFill>
      </fill>
      <border>
        <vertical/>
        <horizontal/>
      </border>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font>
        <b/>
        <i val="0"/>
        <color theme="4" tint="-0.499984740745262"/>
      </font>
      <border diagonalUp="0" diagonalDown="0">
        <left style="thin">
          <color theme="4" tint="-0.499984740745262"/>
        </left>
        <right/>
        <top/>
        <bottom style="thin">
          <color theme="4" tint="-0.499984740745262"/>
        </bottom>
        <vertical/>
        <horizontal/>
      </border>
    </dxf>
    <dxf>
      <font>
        <b/>
        <i val="0"/>
        <color theme="4" tint="-0.499984740745262"/>
      </font>
      <border diagonalUp="0" diagonalDown="0">
        <left/>
        <right/>
        <top/>
        <bottom style="thin">
          <color theme="4" tint="-0.499984740745262"/>
        </bottom>
        <vertical/>
        <horizontal/>
      </border>
    </dxf>
    <dxf>
      <border>
        <left style="thin">
          <color theme="4" tint="-0.499984740745262"/>
        </left>
        <right style="thin">
          <color theme="4" tint="-0.499984740745262"/>
        </right>
        <top style="thin">
          <color theme="4" tint="-0.499984740745262"/>
        </top>
        <bottom style="thin">
          <color theme="4" tint="-0.499984740745262"/>
        </bottom>
        <horizontal style="thin">
          <color theme="5" tint="-0.499984740745262"/>
        </horizontal>
      </border>
    </dxf>
  </dxfs>
  <tableStyles count="1" defaultTableStyle="Tarefas" defaultPivotStyle="PivotStyleLight16">
    <tableStyle name="Tarefas" pivot="0" count="3" xr9:uid="{00000000-0011-0000-FFFF-FFFF00000000}">
      <tableStyleElement type="wholeTable" dxfId="100"/>
      <tableStyleElement type="headerRow" dxfId="99"/>
      <tableStyleElement type="firstColumn"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refas_de_janeiro" displayName="Tarefas_de_janeiro" ref="J1:L31" totalsRowShown="0">
  <autoFilter ref="J1:L31" xr:uid="{00000000-0009-0000-0100-000001000000}">
    <filterColumn colId="0" hiddenButton="1"/>
    <filterColumn colId="1" hiddenButton="1"/>
    <filterColumn colId="2" hiddenButton="1"/>
  </autoFilter>
  <tableColumns count="3">
    <tableColumn id="1" xr3:uid="{00000000-0010-0000-0000-000001000000}" name="Dia da semana" dataCellStyle="Título 4"/>
    <tableColumn id="2" xr3:uid="{00000000-0010-0000-0000-000002000000}" name="dia do calendário" dataCellStyle="Data"/>
    <tableColumn id="3" xr3:uid="{00000000-0010-0000-0000-000003000000}" name="TAREFAS" dataDxfId="90"/>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refas_de_outubro" displayName="Tarefas_de_outubro" ref="J1:L31" totalsRowShown="0">
  <autoFilter ref="J1:L31" xr:uid="{00000000-0009-0000-0100-00000A000000}">
    <filterColumn colId="0" hiddenButton="1"/>
    <filterColumn colId="1" hiddenButton="1"/>
    <filterColumn colId="2" hiddenButton="1"/>
  </autoFilter>
  <tableColumns count="3">
    <tableColumn id="1" xr3:uid="{00000000-0010-0000-0900-000001000000}" name="Dia da semana" dataCellStyle="Título 4"/>
    <tableColumn id="2" xr3:uid="{00000000-0010-0000-0900-000002000000}" name="dia do calendário" dataCellStyle="Data"/>
    <tableColumn id="3" xr3:uid="{00000000-0010-0000-0900-000003000000}" name="TAREFAS" dataDxfId="16"/>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refas_de_novembro" displayName="Tarefas_de_novembro" ref="J1:L31" totalsRowShown="0">
  <autoFilter ref="J1:L31" xr:uid="{00000000-0009-0000-0100-00000B000000}">
    <filterColumn colId="0" hiddenButton="1"/>
    <filterColumn colId="1" hiddenButton="1"/>
    <filterColumn colId="2" hiddenButton="1"/>
  </autoFilter>
  <tableColumns count="3">
    <tableColumn id="1" xr3:uid="{00000000-0010-0000-0A00-000001000000}" name="Dia da semana" dataCellStyle="Título 4"/>
    <tableColumn id="2" xr3:uid="{00000000-0010-0000-0A00-000002000000}" name="dia do calendário" dataCellStyle="Data"/>
    <tableColumn id="3" xr3:uid="{00000000-0010-0000-0A00-000003000000}" name="TAREFAS" dataDxfId="8"/>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refas_de_dezembro" displayName="Tarefas_de_dezembro" ref="J1:L31" totalsRowShown="0" dataCellStyle="Normal">
  <autoFilter ref="J1:L31" xr:uid="{00000000-0009-0000-0100-00000C000000}">
    <filterColumn colId="0" hiddenButton="1"/>
    <filterColumn colId="1" hiddenButton="1"/>
    <filterColumn colId="2" hiddenButton="1"/>
  </autoFilter>
  <tableColumns count="3">
    <tableColumn id="1" xr3:uid="{00000000-0010-0000-0B00-000001000000}" name="Dia da semana" dataCellStyle="Título 4"/>
    <tableColumn id="2" xr3:uid="{00000000-0010-0000-0B00-000002000000}" name="dia do calendário" dataCellStyle="Data"/>
    <tableColumn id="3" xr3:uid="{00000000-0010-0000-0B00-000003000000}" name="TAREFAS" dataDxfId="0" dataCellStyle="Normal"/>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refas_de_fevereiro" displayName="Tarefas_de_fevereiro" ref="J1:L31" totalsRowShown="0">
  <autoFilter ref="J1:L31" xr:uid="{00000000-0009-0000-0100-000002000000}">
    <filterColumn colId="0" hiddenButton="1"/>
    <filterColumn colId="1" hiddenButton="1"/>
    <filterColumn colId="2" hiddenButton="1"/>
  </autoFilter>
  <tableColumns count="3">
    <tableColumn id="1" xr3:uid="{00000000-0010-0000-0100-000001000000}" name="Dia da semana" dataCellStyle="Título 4"/>
    <tableColumn id="2" xr3:uid="{00000000-0010-0000-0100-000002000000}" name="dia do calendário" dataCellStyle="Data"/>
    <tableColumn id="3" xr3:uid="{00000000-0010-0000-0100-000003000000}" name="TAREFAS" dataDxfId="82" dataCellStyle="Normal"/>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refas_de_março" displayName="Tarefas_de_março" ref="J1:L31" totalsRowShown="0">
  <autoFilter ref="J1:L31" xr:uid="{00000000-0009-0000-0100-000003000000}">
    <filterColumn colId="0" hiddenButton="1"/>
    <filterColumn colId="1" hiddenButton="1"/>
    <filterColumn colId="2" hiddenButton="1"/>
  </autoFilter>
  <tableColumns count="3">
    <tableColumn id="1" xr3:uid="{00000000-0010-0000-0200-000001000000}" name="Dia da semana" dataCellStyle="Título 4"/>
    <tableColumn id="2" xr3:uid="{00000000-0010-0000-0200-000002000000}" name="dia do calendário" dataCellStyle="Data"/>
    <tableColumn id="3" xr3:uid="{00000000-0010-0000-0200-000003000000}" name="TAREFAS" dataDxfId="74"/>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refas_de_abril" displayName="Tarefas_de_abril" ref="J1:L31" totalsRowShown="0">
  <autoFilter ref="J1:L31" xr:uid="{00000000-0009-0000-0100-000004000000}">
    <filterColumn colId="0" hiddenButton="1"/>
    <filterColumn colId="1" hiddenButton="1"/>
    <filterColumn colId="2" hiddenButton="1"/>
  </autoFilter>
  <tableColumns count="3">
    <tableColumn id="1" xr3:uid="{00000000-0010-0000-0300-000001000000}" name="Dia da semana" dataCellStyle="Título 4"/>
    <tableColumn id="2" xr3:uid="{00000000-0010-0000-0300-000002000000}" name="dia do calendário" dataCellStyle="Data"/>
    <tableColumn id="3" xr3:uid="{00000000-0010-0000-0300-000003000000}" name="TAREFAS" dataDxfId="66"/>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refas_de_maio" displayName="Tarefas_de_maio" ref="J1:L31" totalsRowShown="0">
  <autoFilter ref="J1:L31" xr:uid="{00000000-0009-0000-0100-000005000000}">
    <filterColumn colId="0" hiddenButton="1"/>
    <filterColumn colId="1" hiddenButton="1"/>
    <filterColumn colId="2" hiddenButton="1"/>
  </autoFilter>
  <tableColumns count="3">
    <tableColumn id="1" xr3:uid="{00000000-0010-0000-0400-000001000000}" name="Dia da semana" dataCellStyle="Título 4"/>
    <tableColumn id="2" xr3:uid="{00000000-0010-0000-0400-000002000000}" name="dia do calendário" dataCellStyle="Data"/>
    <tableColumn id="3" xr3:uid="{00000000-0010-0000-0400-000003000000}" name="TAREFAS" dataDxfId="58"/>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refas_de_junho" displayName="Tarefas_de_junho" ref="J1:L31" totalsRowShown="0">
  <autoFilter ref="J1:L31" xr:uid="{00000000-0009-0000-0100-000006000000}">
    <filterColumn colId="0" hiddenButton="1"/>
    <filterColumn colId="1" hiddenButton="1"/>
    <filterColumn colId="2" hiddenButton="1"/>
  </autoFilter>
  <tableColumns count="3">
    <tableColumn id="1" xr3:uid="{00000000-0010-0000-0500-000001000000}" name="Dia da semana" dataCellStyle="Título 4"/>
    <tableColumn id="2" xr3:uid="{00000000-0010-0000-0500-000002000000}" name="dia do calendário" dataCellStyle="Data"/>
    <tableColumn id="3" xr3:uid="{00000000-0010-0000-0500-000003000000}" name="TAREFAS" dataDxfId="50"/>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refas_de_julho" displayName="Tarefas_de_julho" ref="J1:L31" totalsRowShown="0">
  <autoFilter ref="J1:L31" xr:uid="{00000000-0009-0000-0100-000007000000}">
    <filterColumn colId="0" hiddenButton="1"/>
    <filterColumn colId="1" hiddenButton="1"/>
    <filterColumn colId="2" hiddenButton="1"/>
  </autoFilter>
  <tableColumns count="3">
    <tableColumn id="1" xr3:uid="{00000000-0010-0000-0600-000001000000}" name="Dia da semana" dataCellStyle="Título 4"/>
    <tableColumn id="2" xr3:uid="{00000000-0010-0000-0600-000002000000}" name="dia do calendário" dataCellStyle="Data"/>
    <tableColumn id="3" xr3:uid="{00000000-0010-0000-0600-000003000000}" name="TAREFAS" dataDxfId="42"/>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refas_de_agosto" displayName="Tarefas_de_agosto" ref="J1:L31" totalsRowShown="0">
  <autoFilter ref="J1:L31" xr:uid="{00000000-0009-0000-0100-000008000000}">
    <filterColumn colId="0" hiddenButton="1"/>
    <filterColumn colId="1" hiddenButton="1"/>
    <filterColumn colId="2" hiddenButton="1"/>
  </autoFilter>
  <tableColumns count="3">
    <tableColumn id="1" xr3:uid="{00000000-0010-0000-0700-000001000000}" name="Dia da semana" dataCellStyle="Título 4"/>
    <tableColumn id="2" xr3:uid="{00000000-0010-0000-0700-000002000000}" name="dia do calendário" dataCellStyle="Data"/>
    <tableColumn id="3" xr3:uid="{00000000-0010-0000-0700-000003000000}" name="TAREFAS" dataDxfId="34"/>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refas_de_setembro" displayName="Tarefas_de_setembro" ref="J1:L31" totalsRowShown="0">
  <autoFilter ref="J1:L31" xr:uid="{00000000-0009-0000-0100-000009000000}">
    <filterColumn colId="0" hiddenButton="1"/>
    <filterColumn colId="1" hiddenButton="1"/>
    <filterColumn colId="2" hiddenButton="1"/>
  </autoFilter>
  <tableColumns count="3">
    <tableColumn id="1" xr3:uid="{00000000-0010-0000-0800-000001000000}" name="Dia da semana" dataCellStyle="Título 4"/>
    <tableColumn id="2" xr3:uid="{00000000-0010-0000-0800-000002000000}" name="dia do calendário" dataCellStyle="Data"/>
    <tableColumn id="3" xr3:uid="{00000000-0010-0000-0800-000003000000}" name="TAREFAS" dataDxfId="26"/>
  </tableColumns>
  <tableStyleInfo name="Tarefas" showFirstColumn="1" showLastColumn="0" showRowStripes="1" showColumnStripes="0"/>
  <extLst>
    <ext xmlns:x14="http://schemas.microsoft.com/office/spreadsheetml/2009/9/main" uri="{504A1905-F514-4f6f-8877-14C23A59335A}">
      <x14:table altTextSummary="Insira um dia e uma tarefa para o dia da semana na coluna J. As tarefas serão destacadas no calendário do mês nesta planilha"/>
    </ext>
  </extLst>
</table>
</file>

<file path=xl/theme/theme1.xml><?xml version="1.0" encoding="utf-8"?>
<a:theme xmlns:a="http://schemas.openxmlformats.org/drawingml/2006/main" name="10_college_cal">
  <a:themeElements>
    <a:clrScheme name="Assignment Calendar">
      <a:dk1>
        <a:sysClr val="windowText" lastClr="000000"/>
      </a:dk1>
      <a:lt1>
        <a:sysClr val="window" lastClr="FFFFFF"/>
      </a:lt1>
      <a:dk2>
        <a:srgbClr val="1F497D"/>
      </a:dk2>
      <a:lt2>
        <a:srgbClr val="EEECE1"/>
      </a:lt2>
      <a:accent1>
        <a:srgbClr val="39B5D4"/>
      </a:accent1>
      <a:accent2>
        <a:srgbClr val="FFCCCC"/>
      </a:accent2>
      <a:accent3>
        <a:srgbClr val="4DBB68"/>
      </a:accent3>
      <a:accent4>
        <a:srgbClr val="FFFB59"/>
      </a:accent4>
      <a:accent5>
        <a:srgbClr val="FF9900"/>
      </a:accent5>
      <a:accent6>
        <a:srgbClr val="AC75D5"/>
      </a:accent6>
      <a:hlink>
        <a:srgbClr val="57B5D4"/>
      </a:hlink>
      <a:folHlink>
        <a:srgbClr val="BA4F8B"/>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L31"/>
  <sheetViews>
    <sheetView showGridLines="0" tabSelected="1" zoomScaleNormal="100" zoomScalePageLayoutView="84" workbookViewId="0">
      <selection activeCell="J4" sqref="J4:L4"/>
    </sheetView>
  </sheetViews>
  <sheetFormatPr defaultColWidth="8.625" defaultRowHeight="30" customHeight="1" x14ac:dyDescent="0.2"/>
  <cols>
    <col min="1" max="1" width="2.625" style="40" customWidth="1"/>
    <col min="2" max="2" width="20.625" style="40" customWidth="1"/>
    <col min="3" max="8" width="10.625" style="40" customWidth="1"/>
    <col min="9" max="9" width="20.625" style="40" customWidth="1"/>
    <col min="10" max="11" width="10.625" style="40" customWidth="1"/>
    <col min="12" max="12" width="70.625" style="40" customWidth="1"/>
    <col min="13" max="13" width="2.625" style="40" customWidth="1"/>
    <col min="14" max="14" width="8.625" style="40" customWidth="1"/>
    <col min="15" max="16384" width="8.625" style="40"/>
  </cols>
  <sheetData>
    <row r="1" spans="1:12" ht="30" customHeight="1" x14ac:dyDescent="0.2">
      <c r="A1" s="72"/>
      <c r="B1" s="41">
        <f ca="1">YEAR(TODAY())</f>
        <v>2019</v>
      </c>
      <c r="C1" s="42" t="s">
        <v>11</v>
      </c>
      <c r="J1" s="43" t="s">
        <v>0</v>
      </c>
      <c r="K1" s="43" t="s">
        <v>23</v>
      </c>
      <c r="L1" s="44" t="s">
        <v>24</v>
      </c>
    </row>
    <row r="2" spans="1:12" ht="30" customHeight="1" x14ac:dyDescent="0.25">
      <c r="A2" s="45"/>
      <c r="B2" s="46" t="s">
        <v>3</v>
      </c>
      <c r="C2" s="47" t="s">
        <v>12</v>
      </c>
      <c r="D2" s="47" t="s">
        <v>5</v>
      </c>
      <c r="E2" s="47" t="s">
        <v>17</v>
      </c>
      <c r="F2" s="47" t="s">
        <v>18</v>
      </c>
      <c r="G2" s="47" t="s">
        <v>19</v>
      </c>
      <c r="H2" s="47" t="s">
        <v>21</v>
      </c>
      <c r="I2" s="47" t="s">
        <v>22</v>
      </c>
      <c r="J2" s="48" t="s">
        <v>5</v>
      </c>
      <c r="K2" s="49">
        <v>2</v>
      </c>
      <c r="L2" s="50" t="s">
        <v>25</v>
      </c>
    </row>
    <row r="3" spans="1:12" ht="30" customHeight="1" x14ac:dyDescent="0.25">
      <c r="A3" s="45"/>
      <c r="C3" s="51">
        <f ca="1">IF(DAY(JanDom1)=1,JanDom1-6,JanDom1+1)</f>
        <v>43464</v>
      </c>
      <c r="D3" s="51">
        <f ca="1">IF(DAY(JanDom1)=1,JanDom1-5,JanDom1+2)</f>
        <v>43465</v>
      </c>
      <c r="E3" s="51">
        <f ca="1">IF(DAY(JanDom1)=1,JanDom1-4,JanDom1+3)</f>
        <v>43466</v>
      </c>
      <c r="F3" s="51">
        <f ca="1">IF(DAY(JanDom1)=1,JanDom1-3,JanDom1+4)</f>
        <v>43467</v>
      </c>
      <c r="G3" s="51">
        <f ca="1">IF(DAY(JanDom1)=1,JanDom1-2,JanDom1+5)</f>
        <v>43468</v>
      </c>
      <c r="H3" s="51">
        <f ca="1">IF(DAY(JanDom1)=1,JanDom1-1,JanDom1+6)</f>
        <v>43469</v>
      </c>
      <c r="I3" s="51">
        <f ca="1">IF(DAY(JanDom1)=1,JanDom1,JanDom1+7)</f>
        <v>43470</v>
      </c>
      <c r="J3" s="48"/>
      <c r="K3" s="49"/>
      <c r="L3" s="50"/>
    </row>
    <row r="4" spans="1:12" ht="30" customHeight="1" x14ac:dyDescent="0.25">
      <c r="A4" s="45"/>
      <c r="C4" s="51">
        <f ca="1">IF(DAY(JanDom1)=1,JanDom1+1,JanDom1+8)</f>
        <v>43471</v>
      </c>
      <c r="D4" s="51">
        <f ca="1">IF(DAY(JanDom1)=1,JanDom1+2,JanDom1+9)</f>
        <v>43472</v>
      </c>
      <c r="E4" s="51">
        <f ca="1">IF(DAY(JanDom1)=1,JanDom1+3,JanDom1+10)</f>
        <v>43473</v>
      </c>
      <c r="F4" s="51">
        <f ca="1">IF(DAY(JanDom1)=1,JanDom1+4,JanDom1+11)</f>
        <v>43474</v>
      </c>
      <c r="G4" s="51">
        <f ca="1">IF(DAY(JanDom1)=1,JanDom1+5,JanDom1+12)</f>
        <v>43475</v>
      </c>
      <c r="H4" s="51">
        <f ca="1">IF(DAY(JanDom1)=1,JanDom1+6,JanDom1+13)</f>
        <v>43476</v>
      </c>
      <c r="I4" s="51">
        <f ca="1">IF(DAY(JanDom1)=1,JanDom1+7,JanDom1+14)</f>
        <v>43477</v>
      </c>
      <c r="J4" s="48"/>
      <c r="K4" s="49"/>
      <c r="L4" s="50"/>
    </row>
    <row r="5" spans="1:12" ht="30" customHeight="1" x14ac:dyDescent="0.25">
      <c r="A5" s="45"/>
      <c r="C5" s="51">
        <f ca="1">IF(DAY(JanDom1)=1,JanDom1+8,JanDom1+15)</f>
        <v>43478</v>
      </c>
      <c r="D5" s="51">
        <f ca="1">IF(DAY(JanDom1)=1,JanDom1+9,JanDom1+16)</f>
        <v>43479</v>
      </c>
      <c r="E5" s="51">
        <f ca="1">IF(DAY(JanDom1)=1,JanDom1+10,JanDom1+17)</f>
        <v>43480</v>
      </c>
      <c r="F5" s="51">
        <f ca="1">IF(DAY(JanDom1)=1,JanDom1+11,JanDom1+18)</f>
        <v>43481</v>
      </c>
      <c r="G5" s="51">
        <f ca="1">IF(DAY(JanDom1)=1,JanDom1+12,JanDom1+19)</f>
        <v>43482</v>
      </c>
      <c r="H5" s="51">
        <f ca="1">IF(DAY(JanDom1)=1,JanDom1+13,JanDom1+20)</f>
        <v>43483</v>
      </c>
      <c r="I5" s="51">
        <f ca="1">IF(DAY(JanDom1)=1,JanDom1+14,JanDom1+21)</f>
        <v>43484</v>
      </c>
      <c r="J5" s="48"/>
      <c r="K5" s="49"/>
      <c r="L5" s="50"/>
    </row>
    <row r="6" spans="1:12" ht="30" customHeight="1" x14ac:dyDescent="0.25">
      <c r="A6" s="45"/>
      <c r="C6" s="51">
        <f ca="1">IF(DAY(JanDom1)=1,JanDom1+15,JanDom1+22)</f>
        <v>43485</v>
      </c>
      <c r="D6" s="51">
        <f ca="1">IF(DAY(JanDom1)=1,JanDom1+16,JanDom1+23)</f>
        <v>43486</v>
      </c>
      <c r="E6" s="51">
        <f ca="1">IF(DAY(JanDom1)=1,JanDom1+17,JanDom1+24)</f>
        <v>43487</v>
      </c>
      <c r="F6" s="51">
        <f ca="1">IF(DAY(JanDom1)=1,JanDom1+18,JanDom1+25)</f>
        <v>43488</v>
      </c>
      <c r="G6" s="51">
        <f ca="1">IF(DAY(JanDom1)=1,JanDom1+19,JanDom1+26)</f>
        <v>43489</v>
      </c>
      <c r="H6" s="51">
        <f ca="1">IF(DAY(JanDom1)=1,JanDom1+20,JanDom1+27)</f>
        <v>43490</v>
      </c>
      <c r="I6" s="51">
        <f ca="1">IF(DAY(JanDom1)=1,JanDom1+21,JanDom1+28)</f>
        <v>43491</v>
      </c>
      <c r="J6" s="48"/>
      <c r="K6" s="49"/>
      <c r="L6" s="50"/>
    </row>
    <row r="7" spans="1:12" ht="30" customHeight="1" x14ac:dyDescent="0.25">
      <c r="A7" s="45"/>
      <c r="C7" s="51">
        <f ca="1">IF(DAY(JanDom1)=1,JanDom1+22,JanDom1+29)</f>
        <v>43492</v>
      </c>
      <c r="D7" s="51">
        <f ca="1">IF(DAY(JanDom1)=1,JanDom1+23,JanDom1+30)</f>
        <v>43493</v>
      </c>
      <c r="E7" s="51">
        <f ca="1">IF(DAY(JanDom1)=1,JanDom1+24,JanDom1+31)</f>
        <v>43494</v>
      </c>
      <c r="F7" s="51">
        <f ca="1">IF(DAY(JanDom1)=1,JanDom1+25,JanDom1+32)</f>
        <v>43495</v>
      </c>
      <c r="G7" s="51">
        <f ca="1">IF(DAY(JanDom1)=1,JanDom1+26,JanDom1+33)</f>
        <v>43496</v>
      </c>
      <c r="H7" s="51">
        <f ca="1">IF(DAY(JanDom1)=1,JanDom1+27,JanDom1+34)</f>
        <v>43497</v>
      </c>
      <c r="I7" s="51">
        <f ca="1">IF(DAY(JanDom1)=1,JanDom1+28,JanDom1+35)</f>
        <v>43498</v>
      </c>
      <c r="J7" s="52"/>
      <c r="K7" s="53"/>
      <c r="L7" s="54"/>
    </row>
    <row r="8" spans="1:12" ht="30" customHeight="1" x14ac:dyDescent="0.25">
      <c r="A8" s="45"/>
      <c r="B8" s="55"/>
      <c r="C8" s="56">
        <f ca="1">IF(DAY(JanDom1)=1,JanDom1+29,JanDom1+36)</f>
        <v>43499</v>
      </c>
      <c r="D8" s="56">
        <f ca="1">IF(DAY(JanDom1)=1,JanDom1+30,JanDom1+37)</f>
        <v>43500</v>
      </c>
      <c r="E8" s="56">
        <f ca="1">IF(DAY(JanDom1)=1,JanDom1+31,JanDom1+38)</f>
        <v>43501</v>
      </c>
      <c r="F8" s="56">
        <f ca="1">IF(DAY(JanDom1)=1,JanDom1+32,JanDom1+39)</f>
        <v>43502</v>
      </c>
      <c r="G8" s="56">
        <f ca="1">IF(DAY(JanDom1)=1,JanDom1+33,JanDom1+40)</f>
        <v>43503</v>
      </c>
      <c r="H8" s="56">
        <f ca="1">IF(DAY(JanDom1)=1,JanDom1+34,JanDom1+41)</f>
        <v>43504</v>
      </c>
      <c r="I8" s="56">
        <f ca="1">IF(DAY(JanDom1)=1,JanDom1+35,JanDom1+42)</f>
        <v>43505</v>
      </c>
      <c r="J8" s="48" t="s">
        <v>17</v>
      </c>
      <c r="K8" s="49">
        <v>17</v>
      </c>
      <c r="L8" s="50" t="s">
        <v>26</v>
      </c>
    </row>
    <row r="9" spans="1:12" ht="30" customHeight="1" x14ac:dyDescent="0.25">
      <c r="A9" s="45"/>
      <c r="C9" s="57"/>
      <c r="D9" s="57"/>
      <c r="E9" s="57"/>
      <c r="F9" s="57"/>
      <c r="G9" s="57"/>
      <c r="H9" s="57"/>
      <c r="I9" s="57"/>
      <c r="J9" s="48"/>
      <c r="K9" s="49"/>
      <c r="L9" s="50"/>
    </row>
    <row r="10" spans="1:12" ht="30" customHeight="1" x14ac:dyDescent="0.25">
      <c r="A10" s="45"/>
      <c r="B10" s="58" t="s">
        <v>4</v>
      </c>
      <c r="C10" s="59"/>
      <c r="D10" s="59"/>
      <c r="E10" s="59"/>
      <c r="F10" s="59"/>
      <c r="G10" s="59"/>
      <c r="H10" s="59"/>
      <c r="I10" s="59"/>
      <c r="J10" s="48"/>
      <c r="K10" s="49"/>
      <c r="L10" s="50"/>
    </row>
    <row r="11" spans="1:12" ht="30" customHeight="1" x14ac:dyDescent="0.25">
      <c r="A11" s="60" t="s">
        <v>0</v>
      </c>
      <c r="B11" s="61" t="s">
        <v>5</v>
      </c>
      <c r="C11" s="73" t="s">
        <v>13</v>
      </c>
      <c r="D11" s="74"/>
      <c r="E11" s="73" t="s">
        <v>18</v>
      </c>
      <c r="F11" s="74"/>
      <c r="G11" s="73" t="s">
        <v>20</v>
      </c>
      <c r="H11" s="74"/>
      <c r="I11" s="62" t="s">
        <v>21</v>
      </c>
      <c r="J11" s="48"/>
      <c r="K11" s="49"/>
      <c r="L11" s="50"/>
    </row>
    <row r="12" spans="1:12" ht="30" customHeight="1" x14ac:dyDescent="0.25">
      <c r="A12" s="60" t="s">
        <v>1</v>
      </c>
      <c r="B12" s="63" t="s">
        <v>6</v>
      </c>
      <c r="C12" s="75"/>
      <c r="D12" s="75"/>
      <c r="E12" s="75" t="s">
        <v>6</v>
      </c>
      <c r="F12" s="75"/>
      <c r="G12" s="75"/>
      <c r="H12" s="75"/>
      <c r="I12" s="64" t="s">
        <v>6</v>
      </c>
      <c r="J12" s="48"/>
      <c r="K12" s="49"/>
      <c r="L12" s="50"/>
    </row>
    <row r="13" spans="1:12" ht="30" customHeight="1" x14ac:dyDescent="0.25">
      <c r="A13" s="60" t="s">
        <v>2</v>
      </c>
      <c r="B13" s="65" t="s">
        <v>7</v>
      </c>
      <c r="C13" s="76"/>
      <c r="D13" s="76"/>
      <c r="E13" s="76" t="s">
        <v>7</v>
      </c>
      <c r="F13" s="76"/>
      <c r="G13" s="76"/>
      <c r="H13" s="76"/>
      <c r="I13" s="66" t="s">
        <v>7</v>
      </c>
      <c r="J13" s="52"/>
      <c r="K13" s="53"/>
      <c r="L13" s="54"/>
    </row>
    <row r="14" spans="1:12" ht="30" customHeight="1" x14ac:dyDescent="0.25">
      <c r="A14" s="60" t="s">
        <v>1</v>
      </c>
      <c r="B14" s="63"/>
      <c r="C14" s="75" t="s">
        <v>14</v>
      </c>
      <c r="D14" s="75"/>
      <c r="E14" s="75"/>
      <c r="F14" s="75"/>
      <c r="G14" s="75" t="s">
        <v>14</v>
      </c>
      <c r="H14" s="75"/>
      <c r="I14" s="64"/>
      <c r="J14" s="48" t="s">
        <v>18</v>
      </c>
      <c r="K14" s="49"/>
      <c r="L14" s="50"/>
    </row>
    <row r="15" spans="1:12" ht="30" customHeight="1" x14ac:dyDescent="0.25">
      <c r="A15" s="60" t="s">
        <v>2</v>
      </c>
      <c r="B15" s="65"/>
      <c r="C15" s="76" t="s">
        <v>15</v>
      </c>
      <c r="D15" s="76"/>
      <c r="E15" s="76"/>
      <c r="F15" s="76"/>
      <c r="G15" s="76" t="s">
        <v>15</v>
      </c>
      <c r="H15" s="76"/>
      <c r="I15" s="66"/>
      <c r="J15" s="48"/>
      <c r="K15" s="49"/>
      <c r="L15" s="50"/>
    </row>
    <row r="16" spans="1:12" ht="30" customHeight="1" x14ac:dyDescent="0.25">
      <c r="A16" s="60" t="s">
        <v>1</v>
      </c>
      <c r="B16" s="63" t="s">
        <v>8</v>
      </c>
      <c r="C16" s="75"/>
      <c r="D16" s="75"/>
      <c r="E16" s="75" t="s">
        <v>8</v>
      </c>
      <c r="F16" s="75"/>
      <c r="G16" s="75"/>
      <c r="H16" s="75"/>
      <c r="I16" s="64" t="s">
        <v>8</v>
      </c>
      <c r="J16" s="48"/>
      <c r="K16" s="49"/>
      <c r="L16" s="50"/>
    </row>
    <row r="17" spans="1:12" ht="30" customHeight="1" x14ac:dyDescent="0.25">
      <c r="A17" s="60" t="s">
        <v>2</v>
      </c>
      <c r="B17" s="65" t="s">
        <v>9</v>
      </c>
      <c r="C17" s="76"/>
      <c r="D17" s="76"/>
      <c r="E17" s="76" t="s">
        <v>9</v>
      </c>
      <c r="F17" s="76"/>
      <c r="G17" s="76"/>
      <c r="H17" s="76"/>
      <c r="I17" s="66" t="s">
        <v>9</v>
      </c>
      <c r="J17" s="48"/>
      <c r="K17" s="49"/>
      <c r="L17" s="50"/>
    </row>
    <row r="18" spans="1:12" ht="30" customHeight="1" x14ac:dyDescent="0.25">
      <c r="A18" s="60" t="s">
        <v>1</v>
      </c>
      <c r="B18" s="63"/>
      <c r="C18" s="75"/>
      <c r="D18" s="75"/>
      <c r="E18" s="75"/>
      <c r="F18" s="75"/>
      <c r="G18" s="75"/>
      <c r="H18" s="75"/>
      <c r="I18" s="64"/>
      <c r="J18" s="48"/>
      <c r="K18" s="49"/>
      <c r="L18" s="50"/>
    </row>
    <row r="19" spans="1:12" ht="30" customHeight="1" x14ac:dyDescent="0.25">
      <c r="A19" s="60" t="s">
        <v>2</v>
      </c>
      <c r="B19" s="65"/>
      <c r="C19" s="76"/>
      <c r="D19" s="76"/>
      <c r="E19" s="76"/>
      <c r="F19" s="76"/>
      <c r="G19" s="76"/>
      <c r="H19" s="76"/>
      <c r="I19" s="67"/>
      <c r="J19" s="52"/>
      <c r="K19" s="53"/>
      <c r="L19" s="54"/>
    </row>
    <row r="20" spans="1:12" ht="30" customHeight="1" x14ac:dyDescent="0.25">
      <c r="A20" s="60" t="s">
        <v>1</v>
      </c>
      <c r="B20" s="63"/>
      <c r="C20" s="75"/>
      <c r="D20" s="75"/>
      <c r="E20" s="75"/>
      <c r="F20" s="75"/>
      <c r="G20" s="75"/>
      <c r="H20" s="75"/>
      <c r="I20" s="64"/>
      <c r="J20" s="48" t="s">
        <v>19</v>
      </c>
      <c r="K20" s="49"/>
      <c r="L20" s="50"/>
    </row>
    <row r="21" spans="1:12" ht="30" customHeight="1" x14ac:dyDescent="0.25">
      <c r="A21" s="60" t="s">
        <v>2</v>
      </c>
      <c r="B21" s="65"/>
      <c r="C21" s="76"/>
      <c r="D21" s="76"/>
      <c r="E21" s="76"/>
      <c r="F21" s="76"/>
      <c r="G21" s="76"/>
      <c r="H21" s="76"/>
      <c r="I21" s="66"/>
      <c r="J21" s="48"/>
      <c r="K21" s="49"/>
      <c r="L21" s="50"/>
    </row>
    <row r="22" spans="1:12" ht="30" customHeight="1" x14ac:dyDescent="0.25">
      <c r="A22" s="60" t="s">
        <v>1</v>
      </c>
      <c r="B22" s="63"/>
      <c r="C22" s="75"/>
      <c r="D22" s="75"/>
      <c r="E22" s="75"/>
      <c r="F22" s="75"/>
      <c r="G22" s="75"/>
      <c r="H22" s="75"/>
      <c r="I22" s="64"/>
      <c r="J22" s="48"/>
      <c r="K22" s="49"/>
      <c r="L22" s="50"/>
    </row>
    <row r="23" spans="1:12" ht="30" customHeight="1" x14ac:dyDescent="0.25">
      <c r="A23" s="60" t="s">
        <v>2</v>
      </c>
      <c r="B23" s="65"/>
      <c r="C23" s="76"/>
      <c r="D23" s="76"/>
      <c r="E23" s="76"/>
      <c r="F23" s="76"/>
      <c r="G23" s="76"/>
      <c r="H23" s="76"/>
      <c r="I23" s="66"/>
      <c r="J23" s="48"/>
      <c r="K23" s="49"/>
      <c r="L23" s="50"/>
    </row>
    <row r="24" spans="1:12" ht="30" customHeight="1" x14ac:dyDescent="0.25">
      <c r="A24" s="60" t="s">
        <v>1</v>
      </c>
      <c r="B24" s="68">
        <v>0.58333333333333337</v>
      </c>
      <c r="C24" s="75"/>
      <c r="D24" s="75"/>
      <c r="E24" s="75">
        <v>0.58333333333333337</v>
      </c>
      <c r="F24" s="75"/>
      <c r="G24" s="75"/>
      <c r="H24" s="75"/>
      <c r="I24" s="64">
        <v>0.58333333333333337</v>
      </c>
      <c r="J24" s="48"/>
      <c r="K24" s="49"/>
      <c r="L24" s="50"/>
    </row>
    <row r="25" spans="1:12" ht="30" customHeight="1" x14ac:dyDescent="0.25">
      <c r="A25" s="60" t="s">
        <v>2</v>
      </c>
      <c r="B25" s="65" t="s">
        <v>10</v>
      </c>
      <c r="C25" s="76"/>
      <c r="D25" s="76"/>
      <c r="E25" s="76" t="s">
        <v>10</v>
      </c>
      <c r="F25" s="76"/>
      <c r="G25" s="76"/>
      <c r="H25" s="76"/>
      <c r="I25" s="66" t="s">
        <v>10</v>
      </c>
      <c r="J25" s="52"/>
      <c r="K25" s="53"/>
      <c r="L25" s="54"/>
    </row>
    <row r="26" spans="1:12" ht="30" customHeight="1" x14ac:dyDescent="0.25">
      <c r="A26" s="60" t="s">
        <v>1</v>
      </c>
      <c r="B26" s="63"/>
      <c r="C26" s="75"/>
      <c r="D26" s="75"/>
      <c r="E26" s="75"/>
      <c r="F26" s="75"/>
      <c r="G26" s="75"/>
      <c r="H26" s="75"/>
      <c r="I26" s="64"/>
      <c r="J26" s="48" t="s">
        <v>21</v>
      </c>
      <c r="K26" s="49"/>
      <c r="L26" s="50"/>
    </row>
    <row r="27" spans="1:12" ht="30" customHeight="1" x14ac:dyDescent="0.25">
      <c r="A27" s="60" t="s">
        <v>2</v>
      </c>
      <c r="B27" s="65"/>
      <c r="C27" s="76"/>
      <c r="D27" s="76"/>
      <c r="E27" s="76"/>
      <c r="F27" s="76"/>
      <c r="G27" s="76"/>
      <c r="H27" s="76"/>
      <c r="I27" s="66"/>
      <c r="J27" s="48"/>
      <c r="K27" s="49"/>
      <c r="L27" s="50"/>
    </row>
    <row r="28" spans="1:12" ht="30" customHeight="1" x14ac:dyDescent="0.25">
      <c r="A28" s="60" t="s">
        <v>1</v>
      </c>
      <c r="B28" s="63"/>
      <c r="C28" s="75">
        <v>0.66666666666666663</v>
      </c>
      <c r="D28" s="75"/>
      <c r="E28" s="75"/>
      <c r="F28" s="75"/>
      <c r="G28" s="75">
        <v>0.66666666666666663</v>
      </c>
      <c r="H28" s="75"/>
      <c r="I28" s="64"/>
      <c r="J28" s="48"/>
      <c r="K28" s="49"/>
      <c r="L28" s="50"/>
    </row>
    <row r="29" spans="1:12" ht="30" customHeight="1" x14ac:dyDescent="0.25">
      <c r="A29" s="60" t="s">
        <v>2</v>
      </c>
      <c r="B29" s="65"/>
      <c r="C29" s="76" t="s">
        <v>16</v>
      </c>
      <c r="D29" s="76"/>
      <c r="E29" s="76"/>
      <c r="F29" s="76"/>
      <c r="G29" s="76" t="s">
        <v>16</v>
      </c>
      <c r="H29" s="76"/>
      <c r="I29" s="66"/>
      <c r="J29" s="48"/>
      <c r="K29" s="49"/>
      <c r="L29" s="50"/>
    </row>
    <row r="30" spans="1:12" ht="30" customHeight="1" x14ac:dyDescent="0.25">
      <c r="A30" s="60" t="s">
        <v>1</v>
      </c>
      <c r="B30" s="63"/>
      <c r="C30" s="78"/>
      <c r="D30" s="78"/>
      <c r="E30" s="78"/>
      <c r="F30" s="78"/>
      <c r="G30" s="78"/>
      <c r="H30" s="78"/>
      <c r="I30" s="64"/>
      <c r="J30" s="48"/>
      <c r="K30" s="49"/>
      <c r="L30" s="50"/>
    </row>
    <row r="31" spans="1:12" ht="30" customHeight="1" x14ac:dyDescent="0.25">
      <c r="A31" s="60" t="s">
        <v>2</v>
      </c>
      <c r="B31" s="69"/>
      <c r="C31" s="77"/>
      <c r="D31" s="77"/>
      <c r="E31" s="77"/>
      <c r="F31" s="77"/>
      <c r="G31" s="77"/>
      <c r="H31" s="77"/>
      <c r="I31" s="69"/>
      <c r="J31" s="70"/>
      <c r="K31" s="49"/>
    </row>
  </sheetData>
  <dataConsolidate/>
  <mergeCells count="63">
    <mergeCell ref="E11:F11"/>
    <mergeCell ref="C11:D11"/>
    <mergeCell ref="C17:D17"/>
    <mergeCell ref="C12:D12"/>
    <mergeCell ref="C13:D13"/>
    <mergeCell ref="C14:D14"/>
    <mergeCell ref="C15:D15"/>
    <mergeCell ref="C16:D16"/>
    <mergeCell ref="E14:F14"/>
    <mergeCell ref="E13:F13"/>
    <mergeCell ref="E12:F12"/>
    <mergeCell ref="C31:D31"/>
    <mergeCell ref="C22:D22"/>
    <mergeCell ref="C23:D23"/>
    <mergeCell ref="C24:D24"/>
    <mergeCell ref="C25:D25"/>
    <mergeCell ref="C26:D26"/>
    <mergeCell ref="C27:D27"/>
    <mergeCell ref="C28:D28"/>
    <mergeCell ref="C29:D29"/>
    <mergeCell ref="C30:D30"/>
    <mergeCell ref="C18:D18"/>
    <mergeCell ref="C19:D19"/>
    <mergeCell ref="C20:D20"/>
    <mergeCell ref="C21:D21"/>
    <mergeCell ref="E31:F31"/>
    <mergeCell ref="E30:F30"/>
    <mergeCell ref="E29:F29"/>
    <mergeCell ref="E28:F28"/>
    <mergeCell ref="E27:F27"/>
    <mergeCell ref="E26:F26"/>
    <mergeCell ref="E25:F25"/>
    <mergeCell ref="E24:F24"/>
    <mergeCell ref="E23:F23"/>
    <mergeCell ref="E22:F22"/>
    <mergeCell ref="E21:F21"/>
    <mergeCell ref="E20:F20"/>
    <mergeCell ref="E19:F19"/>
    <mergeCell ref="E18:F18"/>
    <mergeCell ref="E17:F17"/>
    <mergeCell ref="E16:F16"/>
    <mergeCell ref="E15:F15"/>
    <mergeCell ref="G31:H31"/>
    <mergeCell ref="G20:H20"/>
    <mergeCell ref="G21:H21"/>
    <mergeCell ref="G22:H22"/>
    <mergeCell ref="G28:H28"/>
    <mergeCell ref="G29:H29"/>
    <mergeCell ref="G30:H30"/>
    <mergeCell ref="G23:H23"/>
    <mergeCell ref="G24:H24"/>
    <mergeCell ref="G25:H25"/>
    <mergeCell ref="G26:H26"/>
    <mergeCell ref="G18:H18"/>
    <mergeCell ref="G19:H19"/>
    <mergeCell ref="G14:H14"/>
    <mergeCell ref="G15:H15"/>
    <mergeCell ref="G27:H27"/>
    <mergeCell ref="G11:H11"/>
    <mergeCell ref="G12:H12"/>
    <mergeCell ref="G13:H13"/>
    <mergeCell ref="G16:H16"/>
    <mergeCell ref="G17:H17"/>
  </mergeCells>
  <phoneticPr fontId="2" type="noConversion"/>
  <conditionalFormatting sqref="C3:H3">
    <cfRule type="expression" dxfId="97" priority="9" stopIfTrue="1">
      <formula>DAY(C3)&gt;8</formula>
    </cfRule>
  </conditionalFormatting>
  <conditionalFormatting sqref="C7:I8">
    <cfRule type="expression" dxfId="96" priority="8" stopIfTrue="1">
      <formula>AND(DAY(C7)&gt;=1,DAY(C7)&lt;=15)</formula>
    </cfRule>
  </conditionalFormatting>
  <conditionalFormatting sqref="C3:I8">
    <cfRule type="expression" dxfId="95" priority="20">
      <formula>VLOOKUP(DAY(C3),DiasTarefa,1,FALSE)=DAY(C3)</formula>
    </cfRule>
  </conditionalFormatting>
  <conditionalFormatting sqref="B12:I12 B14:I14 B16:I16 B18:I18 B20:I20 B22:I22 B26:I26 B28:I28 B30:I30 B24:I24">
    <cfRule type="expression" dxfId="94" priority="6">
      <formula>B12&lt;&gt;""</formula>
    </cfRule>
  </conditionalFormatting>
  <conditionalFormatting sqref="B13:I13 B15:I15 B17:I17 B19:I19 B21:I21 B23:I23 B25:I25 B27:I27 B29:I29 B31:I31">
    <cfRule type="expression" dxfId="93" priority="4">
      <formula>B13&lt;&gt;""</formula>
    </cfRule>
  </conditionalFormatting>
  <conditionalFormatting sqref="B13:I13 B15:I15 B17:I17 B19:I19 B21:I21 B23:I23 B25:I25 B27:I27 B29:I29">
    <cfRule type="expression" dxfId="92" priority="3">
      <formula>COLUMN(B12)&gt;=2</formula>
    </cfRule>
  </conditionalFormatting>
  <conditionalFormatting sqref="B12:I31">
    <cfRule type="expression" dxfId="91" priority="1">
      <formula>COLUMN(B11)&gt;2</formula>
    </cfRule>
  </conditionalFormatting>
  <dataValidations xWindow="250" yWindow="581" count="13">
    <dataValidation allowBlank="1" showInputMessage="1" showErrorMessage="1" prompt="Insira o ano nesta célula" sqref="B1" xr:uid="{00000000-0002-0000-0000-000000000000}"/>
    <dataValidation allowBlank="1" showInputMessage="1" showErrorMessage="1" prompt="Prepare um cronograma semanal e crie uma lista de tarefas nesta planilha. As entradas da lista de tarefas são automaticamente destacadas no calendário mensal. Insira o ano civil na célula B1" sqref="A1" xr:uid="{00000000-0002-0000-0000-000001000000}"/>
    <dataValidation allowBlank="1" showInputMessage="1" showErrorMessage="1" prompt="O calendário de janeiro destaca automaticamente as entradas da lista de tarefas do mês. As fontes mais escuras são tarefas. As fontes mais claras são dias que pertencem ao mês anterior ou seguinte" sqref="B2" xr:uid="{00000000-0002-0000-0000-000002000000}"/>
    <dataValidation allowBlank="1" showInputMessage="1" showErrorMessage="1" prompt="Se esta célula não contiver o número 1, ela será um dia de um mês anterior. As células C3:I8 contêm datas do mês atual" sqref="C3" xr:uid="{00000000-0002-0000-0000-000003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000-000004000000}"/>
    <dataValidation allowBlank="1" showInputMessage="1" showErrorMessage="1" prompt="Insira a aula nesta linha entre as colunas B e I" sqref="B13" xr:uid="{00000000-0002-0000-0000-000005000000}"/>
    <dataValidation allowBlank="1" showInputMessage="1" showErrorMessage="1" prompt="Insira o dia do mês da tarefa nesta coluna, que corresponde ao dia da semana na coluna J. Essa data destacará a tarefa no calendário à esquerda" sqref="K1" xr:uid="{00000000-0002-0000-0000-000006000000}"/>
    <dataValidation allowBlank="1" showInputMessage="1" showErrorMessage="1" prompt="Insira o horário nesta linha entre as colunas B e I" sqref="B12" xr:uid="{00000000-0002-0000-0000-000007000000}"/>
    <dataValidation allowBlank="1" showInputMessage="1" showErrorMessage="1" prompt="Insira os detalhes da tarefa nesta coluna, que corresponde ao dia da semana na coluna J e ao dia na coluna K para o mês do calendário à esquerda" sqref="L1" xr:uid="{00000000-0002-0000-0000-000008000000}"/>
    <dataValidation allowBlank="1" showInputMessage="1" showErrorMessage="1" prompt="Se esta linha contiver um número menor que o número ou a linha de números anterior, ela conterá datas para o próximo mês do calendário" sqref="C8" xr:uid="{00000000-0002-0000-0000-000009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000-00000A000000}"/>
    <dataValidation allowBlank="1" showInputMessage="1" showErrorMessage="1" prompt="Os dias da semana estão nesta linha, de segunda a sexta" sqref="B11" xr:uid="{00000000-0002-0000-0000-00000B000000}"/>
    <dataValidation allowBlank="1" showInputMessage="1" showErrorMessage="1" prompt="As células C2:I2 contêm dias da semana" sqref="C2" xr:uid="{00000000-0002-0000-0000-00000C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fitToPage="1"/>
  </sheetPr>
  <dimension ref="A1:L31"/>
  <sheetViews>
    <sheetView showGridLines="0" zoomScaleNormal="100" zoomScalePageLayoutView="84" workbookViewId="0"/>
  </sheetViews>
  <sheetFormatPr defaultColWidth="8.625" defaultRowHeight="30" customHeight="1" x14ac:dyDescent="0.2"/>
  <cols>
    <col min="1" max="1" width="2.625" style="1" customWidth="1"/>
    <col min="2" max="2" width="20.625" style="12" customWidth="1"/>
    <col min="3" max="8" width="10.625" style="1" customWidth="1"/>
    <col min="9" max="9" width="20.625" style="1" customWidth="1"/>
    <col min="10" max="10" width="10.625" style="12" customWidth="1"/>
    <col min="11" max="11" width="10.625" style="2" customWidth="1"/>
    <col min="12" max="12" width="70.625" style="1" customWidth="1"/>
    <col min="13" max="13" width="2.625" customWidth="1"/>
  </cols>
  <sheetData>
    <row r="1" spans="1:12" ht="30" customHeight="1" x14ac:dyDescent="0.2">
      <c r="A1" s="12"/>
      <c r="B1" s="9">
        <f ca="1">AnoCivil</f>
        <v>2019</v>
      </c>
      <c r="J1" s="15" t="s">
        <v>0</v>
      </c>
      <c r="K1" s="15" t="s">
        <v>23</v>
      </c>
      <c r="L1" s="8" t="s">
        <v>24</v>
      </c>
    </row>
    <row r="2" spans="1:12" ht="30" customHeight="1" x14ac:dyDescent="0.25">
      <c r="A2" s="10"/>
      <c r="B2" s="20" t="s">
        <v>36</v>
      </c>
      <c r="C2" s="5" t="s">
        <v>12</v>
      </c>
      <c r="D2" s="5" t="s">
        <v>5</v>
      </c>
      <c r="E2" s="5" t="s">
        <v>17</v>
      </c>
      <c r="F2" s="5" t="s">
        <v>18</v>
      </c>
      <c r="G2" s="5" t="s">
        <v>19</v>
      </c>
      <c r="H2" s="5" t="s">
        <v>21</v>
      </c>
      <c r="I2" s="5" t="s">
        <v>22</v>
      </c>
      <c r="J2" s="32" t="s">
        <v>5</v>
      </c>
      <c r="K2" s="33"/>
      <c r="L2" s="35"/>
    </row>
    <row r="3" spans="1:12" ht="30" customHeight="1" x14ac:dyDescent="0.25">
      <c r="A3" s="10"/>
      <c r="C3" s="4">
        <f ca="1">IF(DAY(OutDom1)=1,OutDom1-6,OutDom1+1)</f>
        <v>43737</v>
      </c>
      <c r="D3" s="4">
        <f ca="1">IF(DAY(OutDom1)=1,OutDom1-5,OutDom1+2)</f>
        <v>43738</v>
      </c>
      <c r="E3" s="4">
        <f ca="1">IF(DAY(OutDom1)=1,OutDom1-4,OutDom1+3)</f>
        <v>43739</v>
      </c>
      <c r="F3" s="4">
        <f ca="1">IF(DAY(OutDom1)=1,OutDom1-3,OutDom1+4)</f>
        <v>43740</v>
      </c>
      <c r="G3" s="4">
        <f ca="1">IF(DAY(OutDom1)=1,OutDom1-2,OutDom1+5)</f>
        <v>43741</v>
      </c>
      <c r="H3" s="4">
        <f ca="1">IF(DAY(OutDom1)=1,OutDom1-1,OutDom1+6)</f>
        <v>43742</v>
      </c>
      <c r="I3" s="4">
        <f ca="1">IF(DAY(OutDom1)=1,OutDom1,OutDom1+7)</f>
        <v>43743</v>
      </c>
      <c r="J3" s="32"/>
      <c r="K3" s="33"/>
      <c r="L3" s="35"/>
    </row>
    <row r="4" spans="1:12" ht="30" customHeight="1" x14ac:dyDescent="0.25">
      <c r="A4" s="10"/>
      <c r="C4" s="4">
        <f ca="1">IF(DAY(OutDom1)=1,OutDom1+1,OutDom1+8)</f>
        <v>43744</v>
      </c>
      <c r="D4" s="4">
        <f ca="1">IF(DAY(OutDom1)=1,OutDom1+2,OutDom1+9)</f>
        <v>43745</v>
      </c>
      <c r="E4" s="4">
        <f ca="1">IF(DAY(OutDom1)=1,OutDom1+3,OutDom1+10)</f>
        <v>43746</v>
      </c>
      <c r="F4" s="4">
        <f ca="1">IF(DAY(OutDom1)=1,OutDom1+4,OutDom1+11)</f>
        <v>43747</v>
      </c>
      <c r="G4" s="4">
        <f ca="1">IF(DAY(OutDom1)=1,OutDom1+5,OutDom1+12)</f>
        <v>43748</v>
      </c>
      <c r="H4" s="4">
        <f ca="1">IF(DAY(OutDom1)=1,OutDom1+6,OutDom1+13)</f>
        <v>43749</v>
      </c>
      <c r="I4" s="4">
        <f ca="1">IF(DAY(OutDom1)=1,OutDom1+7,OutDom1+14)</f>
        <v>43750</v>
      </c>
      <c r="J4" s="32"/>
      <c r="K4" s="33"/>
      <c r="L4" s="35"/>
    </row>
    <row r="5" spans="1:12" ht="30" customHeight="1" x14ac:dyDescent="0.25">
      <c r="A5" s="10"/>
      <c r="C5" s="4">
        <f ca="1">IF(DAY(OutDom1)=1,OutDom1+8,OutDom1+15)</f>
        <v>43751</v>
      </c>
      <c r="D5" s="4">
        <f ca="1">IF(DAY(OutDom1)=1,OutDom1+9,OutDom1+16)</f>
        <v>43752</v>
      </c>
      <c r="E5" s="4">
        <f ca="1">IF(DAY(OutDom1)=1,OutDom1+10,OutDom1+17)</f>
        <v>43753</v>
      </c>
      <c r="F5" s="4">
        <f ca="1">IF(DAY(OutDom1)=1,OutDom1+11,OutDom1+18)</f>
        <v>43754</v>
      </c>
      <c r="G5" s="4">
        <f ca="1">IF(DAY(OutDom1)=1,OutDom1+12,OutDom1+19)</f>
        <v>43755</v>
      </c>
      <c r="H5" s="4">
        <f ca="1">IF(DAY(OutDom1)=1,OutDom1+13,OutDom1+20)</f>
        <v>43756</v>
      </c>
      <c r="I5" s="4">
        <f ca="1">IF(DAY(OutDom1)=1,OutDom1+14,OutDom1+21)</f>
        <v>43757</v>
      </c>
      <c r="J5" s="32"/>
      <c r="K5" s="33"/>
      <c r="L5" s="35"/>
    </row>
    <row r="6" spans="1:12" ht="30" customHeight="1" x14ac:dyDescent="0.25">
      <c r="A6" s="10"/>
      <c r="C6" s="4">
        <f ca="1">IF(DAY(OutDom1)=1,OutDom1+15,OutDom1+22)</f>
        <v>43758</v>
      </c>
      <c r="D6" s="4">
        <f ca="1">IF(DAY(OutDom1)=1,OutDom1+16,OutDom1+23)</f>
        <v>43759</v>
      </c>
      <c r="E6" s="4">
        <f ca="1">IF(DAY(OutDom1)=1,OutDom1+17,OutDom1+24)</f>
        <v>43760</v>
      </c>
      <c r="F6" s="4">
        <f ca="1">IF(DAY(OutDom1)=1,OutDom1+18,OutDom1+25)</f>
        <v>43761</v>
      </c>
      <c r="G6" s="4">
        <f ca="1">IF(DAY(OutDom1)=1,OutDom1+19,OutDom1+26)</f>
        <v>43762</v>
      </c>
      <c r="H6" s="4">
        <f ca="1">IF(DAY(OutDom1)=1,OutDom1+20,OutDom1+27)</f>
        <v>43763</v>
      </c>
      <c r="I6" s="4">
        <f ca="1">IF(DAY(OutDom1)=1,OutDom1+21,OutDom1+28)</f>
        <v>43764</v>
      </c>
      <c r="J6" s="32"/>
      <c r="K6" s="33"/>
      <c r="L6" s="35"/>
    </row>
    <row r="7" spans="1:12" ht="30" customHeight="1" x14ac:dyDescent="0.25">
      <c r="A7" s="10"/>
      <c r="C7" s="4">
        <f ca="1">IF(DAY(OutDom1)=1,OutDom1+22,OutDom1+29)</f>
        <v>43765</v>
      </c>
      <c r="D7" s="4">
        <f ca="1">IF(DAY(OutDom1)=1,OutDom1+23,OutDom1+30)</f>
        <v>43766</v>
      </c>
      <c r="E7" s="4">
        <f ca="1">IF(DAY(OutDom1)=1,OutDom1+24,OutDom1+31)</f>
        <v>43767</v>
      </c>
      <c r="F7" s="4">
        <f ca="1">IF(DAY(OutDom1)=1,OutDom1+25,OutDom1+32)</f>
        <v>43768</v>
      </c>
      <c r="G7" s="4">
        <f ca="1">IF(DAY(OutDom1)=1,OutDom1+26,OutDom1+33)</f>
        <v>43769</v>
      </c>
      <c r="H7" s="4">
        <f ca="1">IF(DAY(OutDom1)=1,OutDom1+27,OutDom1+34)</f>
        <v>43770</v>
      </c>
      <c r="I7" s="4">
        <f ca="1">IF(DAY(OutDom1)=1,OutDom1+28,OutDom1+35)</f>
        <v>43771</v>
      </c>
      <c r="J7" s="16"/>
      <c r="K7" s="14"/>
      <c r="L7" s="36"/>
    </row>
    <row r="8" spans="1:12" ht="30" customHeight="1" x14ac:dyDescent="0.25">
      <c r="A8" s="10"/>
      <c r="B8" s="13"/>
      <c r="C8" s="4">
        <f ca="1">IF(DAY(OutDom1)=1,OutDom1+29,OutDom1+36)</f>
        <v>43772</v>
      </c>
      <c r="D8" s="4">
        <f ca="1">IF(DAY(OutDom1)=1,OutDom1+30,OutDom1+37)</f>
        <v>43773</v>
      </c>
      <c r="E8" s="4">
        <f ca="1">IF(DAY(OutDom1)=1,OutDom1+31,OutDom1+38)</f>
        <v>43774</v>
      </c>
      <c r="F8" s="4">
        <f ca="1">IF(DAY(OutDom1)=1,OutDom1+32,OutDom1+39)</f>
        <v>43775</v>
      </c>
      <c r="G8" s="4">
        <f ca="1">IF(DAY(OutDom1)=1,OutDom1+33,OutDom1+40)</f>
        <v>43776</v>
      </c>
      <c r="H8" s="4">
        <f ca="1">IF(DAY(OutDom1)=1,OutDom1+34,OutDom1+41)</f>
        <v>43777</v>
      </c>
      <c r="I8" s="4">
        <f ca="1">IF(DAY(OutDom1)=1,OutDom1+35,OutDom1+42)</f>
        <v>43778</v>
      </c>
      <c r="J8" s="32" t="s">
        <v>17</v>
      </c>
      <c r="K8" s="17"/>
      <c r="L8" s="35"/>
    </row>
    <row r="9" spans="1:12" ht="30" customHeight="1" x14ac:dyDescent="0.25">
      <c r="A9" s="10"/>
      <c r="C9" s="3"/>
      <c r="D9" s="3"/>
      <c r="E9" s="3"/>
      <c r="F9" s="3"/>
      <c r="G9" s="3"/>
      <c r="H9" s="3"/>
      <c r="I9" s="3"/>
      <c r="J9" s="32"/>
      <c r="K9" s="33"/>
      <c r="L9" s="35"/>
    </row>
    <row r="10" spans="1:12" ht="30" customHeight="1" x14ac:dyDescent="0.25">
      <c r="A10" s="10"/>
      <c r="B10" s="11" t="s">
        <v>4</v>
      </c>
      <c r="C10" s="6"/>
      <c r="D10" s="6"/>
      <c r="E10" s="6"/>
      <c r="F10" s="6"/>
      <c r="G10" s="6"/>
      <c r="H10" s="6"/>
      <c r="I10" s="6"/>
      <c r="J10" s="32"/>
      <c r="K10" s="33"/>
      <c r="L10" s="35"/>
    </row>
    <row r="11" spans="1:12" ht="30" customHeight="1" x14ac:dyDescent="0.25">
      <c r="A11" s="23" t="s">
        <v>0</v>
      </c>
      <c r="B11" s="22" t="s">
        <v>5</v>
      </c>
      <c r="C11" s="82" t="s">
        <v>13</v>
      </c>
      <c r="D11" s="83"/>
      <c r="E11" s="82" t="s">
        <v>18</v>
      </c>
      <c r="F11" s="83"/>
      <c r="G11" s="82" t="s">
        <v>20</v>
      </c>
      <c r="H11" s="83"/>
      <c r="I11" s="31" t="s">
        <v>21</v>
      </c>
      <c r="J11" s="32"/>
      <c r="K11" s="33"/>
      <c r="L11" s="35"/>
    </row>
    <row r="12" spans="1:12" ht="30" customHeight="1" x14ac:dyDescent="0.25">
      <c r="A12" s="23" t="s">
        <v>1</v>
      </c>
      <c r="B12" s="18" t="s">
        <v>6</v>
      </c>
      <c r="C12" s="81"/>
      <c r="D12" s="81"/>
      <c r="E12" s="81" t="s">
        <v>6</v>
      </c>
      <c r="F12" s="81"/>
      <c r="G12" s="81"/>
      <c r="H12" s="81"/>
      <c r="I12" s="19" t="s">
        <v>6</v>
      </c>
      <c r="J12" s="32"/>
      <c r="K12" s="33"/>
      <c r="L12" s="35"/>
    </row>
    <row r="13" spans="1:12" ht="30" customHeight="1" x14ac:dyDescent="0.25">
      <c r="A13" s="23" t="s">
        <v>2</v>
      </c>
      <c r="B13" s="24" t="s">
        <v>7</v>
      </c>
      <c r="C13" s="80"/>
      <c r="D13" s="80"/>
      <c r="E13" s="80" t="s">
        <v>7</v>
      </c>
      <c r="F13" s="80"/>
      <c r="G13" s="80"/>
      <c r="H13" s="80"/>
      <c r="I13" s="26" t="s">
        <v>7</v>
      </c>
      <c r="J13" s="16"/>
      <c r="K13" s="14"/>
      <c r="L13" s="36"/>
    </row>
    <row r="14" spans="1:12" ht="30" customHeight="1" x14ac:dyDescent="0.25">
      <c r="A14" s="23" t="s">
        <v>1</v>
      </c>
      <c r="B14" s="18"/>
      <c r="C14" s="81" t="s">
        <v>14</v>
      </c>
      <c r="D14" s="81"/>
      <c r="E14" s="81"/>
      <c r="F14" s="81"/>
      <c r="G14" s="81" t="s">
        <v>14</v>
      </c>
      <c r="H14" s="81"/>
      <c r="I14" s="19"/>
      <c r="J14" s="32" t="s">
        <v>18</v>
      </c>
      <c r="K14" s="17"/>
      <c r="L14" s="35"/>
    </row>
    <row r="15" spans="1:12" ht="30" customHeight="1" x14ac:dyDescent="0.25">
      <c r="A15" s="23" t="s">
        <v>2</v>
      </c>
      <c r="B15" s="24"/>
      <c r="C15" s="80" t="s">
        <v>15</v>
      </c>
      <c r="D15" s="80"/>
      <c r="E15" s="80"/>
      <c r="F15" s="80"/>
      <c r="G15" s="80" t="s">
        <v>15</v>
      </c>
      <c r="H15" s="80"/>
      <c r="I15" s="26"/>
      <c r="J15" s="32"/>
      <c r="K15" s="33"/>
      <c r="L15" s="35"/>
    </row>
    <row r="16" spans="1:12" ht="30" customHeight="1" x14ac:dyDescent="0.25">
      <c r="A16" s="23" t="s">
        <v>1</v>
      </c>
      <c r="B16" s="18" t="s">
        <v>8</v>
      </c>
      <c r="C16" s="81"/>
      <c r="D16" s="81"/>
      <c r="E16" s="81" t="s">
        <v>8</v>
      </c>
      <c r="F16" s="81"/>
      <c r="G16" s="81"/>
      <c r="H16" s="81"/>
      <c r="I16" s="21" t="s">
        <v>8</v>
      </c>
      <c r="J16" s="32"/>
      <c r="K16" s="33"/>
      <c r="L16" s="35"/>
    </row>
    <row r="17" spans="1:12" ht="30" customHeight="1" x14ac:dyDescent="0.25">
      <c r="A17" s="23" t="s">
        <v>2</v>
      </c>
      <c r="B17" s="24" t="s">
        <v>9</v>
      </c>
      <c r="C17" s="80"/>
      <c r="D17" s="80"/>
      <c r="E17" s="80" t="s">
        <v>9</v>
      </c>
      <c r="F17" s="80"/>
      <c r="G17" s="80"/>
      <c r="H17" s="80"/>
      <c r="I17" s="26" t="s">
        <v>9</v>
      </c>
      <c r="J17" s="32"/>
      <c r="K17" s="33"/>
      <c r="L17" s="35"/>
    </row>
    <row r="18" spans="1:12" ht="30" customHeight="1" x14ac:dyDescent="0.25">
      <c r="A18" s="23" t="s">
        <v>1</v>
      </c>
      <c r="B18" s="18"/>
      <c r="C18" s="81"/>
      <c r="D18" s="81"/>
      <c r="E18" s="81"/>
      <c r="F18" s="81"/>
      <c r="G18" s="81"/>
      <c r="H18" s="81"/>
      <c r="I18" s="19"/>
      <c r="J18" s="32"/>
      <c r="K18" s="33"/>
      <c r="L18" s="35"/>
    </row>
    <row r="19" spans="1:12" ht="30" customHeight="1" x14ac:dyDescent="0.25">
      <c r="A19" s="23" t="s">
        <v>2</v>
      </c>
      <c r="B19" s="24"/>
      <c r="C19" s="80"/>
      <c r="D19" s="80"/>
      <c r="E19" s="80"/>
      <c r="F19" s="80"/>
      <c r="G19" s="80"/>
      <c r="H19" s="80"/>
      <c r="I19" s="39"/>
      <c r="J19" s="16"/>
      <c r="K19" s="14"/>
      <c r="L19" s="37"/>
    </row>
    <row r="20" spans="1:12" ht="30" customHeight="1" x14ac:dyDescent="0.25">
      <c r="A20" s="23" t="s">
        <v>1</v>
      </c>
      <c r="B20" s="18"/>
      <c r="C20" s="81"/>
      <c r="D20" s="81"/>
      <c r="E20" s="81"/>
      <c r="F20" s="81"/>
      <c r="G20" s="81"/>
      <c r="H20" s="81"/>
      <c r="I20" s="19"/>
      <c r="J20" s="32" t="s">
        <v>19</v>
      </c>
      <c r="K20" s="17"/>
      <c r="L20" s="35"/>
    </row>
    <row r="21" spans="1:12" ht="30" customHeight="1" x14ac:dyDescent="0.25">
      <c r="A21" s="23" t="s">
        <v>2</v>
      </c>
      <c r="B21" s="24"/>
      <c r="C21" s="80"/>
      <c r="D21" s="80"/>
      <c r="E21" s="80"/>
      <c r="F21" s="80"/>
      <c r="G21" s="80"/>
      <c r="H21" s="80"/>
      <c r="I21" s="26"/>
      <c r="J21" s="32"/>
      <c r="K21" s="33"/>
      <c r="L21" s="35"/>
    </row>
    <row r="22" spans="1:12" ht="30" customHeight="1" x14ac:dyDescent="0.25">
      <c r="A22" s="23" t="s">
        <v>1</v>
      </c>
      <c r="B22" s="18"/>
      <c r="C22" s="81"/>
      <c r="D22" s="81"/>
      <c r="E22" s="81"/>
      <c r="F22" s="81"/>
      <c r="G22" s="81"/>
      <c r="H22" s="81"/>
      <c r="I22" s="19"/>
      <c r="J22" s="32"/>
      <c r="K22" s="33"/>
      <c r="L22" s="35"/>
    </row>
    <row r="23" spans="1:12" ht="30" customHeight="1" x14ac:dyDescent="0.25">
      <c r="A23" s="23" t="s">
        <v>2</v>
      </c>
      <c r="B23" s="24"/>
      <c r="C23" s="80"/>
      <c r="D23" s="80"/>
      <c r="E23" s="80"/>
      <c r="F23" s="80"/>
      <c r="G23" s="80"/>
      <c r="H23" s="80"/>
      <c r="I23" s="26"/>
      <c r="J23" s="32"/>
      <c r="K23" s="33"/>
      <c r="L23" s="35"/>
    </row>
    <row r="24" spans="1:12" ht="30" customHeight="1" x14ac:dyDescent="0.25">
      <c r="A24" s="23" t="s">
        <v>1</v>
      </c>
      <c r="B24" s="18">
        <v>0.58333333333333337</v>
      </c>
      <c r="C24" s="81"/>
      <c r="D24" s="81"/>
      <c r="E24" s="81">
        <v>0.58333333333333337</v>
      </c>
      <c r="F24" s="81"/>
      <c r="G24" s="81"/>
      <c r="H24" s="81"/>
      <c r="I24" s="19">
        <v>0.58333333333333337</v>
      </c>
      <c r="J24" s="32"/>
      <c r="K24" s="33"/>
      <c r="L24" s="35"/>
    </row>
    <row r="25" spans="1:12" ht="30" customHeight="1" x14ac:dyDescent="0.25">
      <c r="A25" s="23" t="s">
        <v>2</v>
      </c>
      <c r="B25" s="24" t="s">
        <v>10</v>
      </c>
      <c r="C25" s="80"/>
      <c r="D25" s="80"/>
      <c r="E25" s="80" t="s">
        <v>10</v>
      </c>
      <c r="F25" s="80"/>
      <c r="G25" s="80"/>
      <c r="H25" s="80"/>
      <c r="I25" s="26" t="s">
        <v>10</v>
      </c>
      <c r="J25" s="16"/>
      <c r="K25" s="14"/>
      <c r="L25" s="37"/>
    </row>
    <row r="26" spans="1:12" ht="30" customHeight="1" x14ac:dyDescent="0.25">
      <c r="A26" s="23" t="s">
        <v>1</v>
      </c>
      <c r="B26" s="18"/>
      <c r="C26" s="81"/>
      <c r="D26" s="81"/>
      <c r="E26" s="81"/>
      <c r="F26" s="81"/>
      <c r="G26" s="81"/>
      <c r="H26" s="81"/>
      <c r="I26" s="19"/>
      <c r="J26" s="32" t="s">
        <v>21</v>
      </c>
      <c r="K26" s="17"/>
      <c r="L26" s="35"/>
    </row>
    <row r="27" spans="1:12" ht="30" customHeight="1" x14ac:dyDescent="0.25">
      <c r="A27" s="23" t="s">
        <v>2</v>
      </c>
      <c r="B27" s="24"/>
      <c r="C27" s="80"/>
      <c r="D27" s="80"/>
      <c r="E27" s="80"/>
      <c r="F27" s="80"/>
      <c r="G27" s="80"/>
      <c r="H27" s="80"/>
      <c r="I27" s="26"/>
      <c r="J27" s="32"/>
      <c r="K27" s="33"/>
      <c r="L27" s="35"/>
    </row>
    <row r="28" spans="1:12" ht="30" customHeight="1" x14ac:dyDescent="0.25">
      <c r="A28" s="23" t="s">
        <v>1</v>
      </c>
      <c r="B28" s="18"/>
      <c r="C28" s="81">
        <v>0.66666666666666663</v>
      </c>
      <c r="D28" s="81"/>
      <c r="E28" s="81"/>
      <c r="F28" s="81"/>
      <c r="G28" s="81">
        <v>0.66666666666666663</v>
      </c>
      <c r="H28" s="81"/>
      <c r="I28" s="19"/>
      <c r="J28" s="32"/>
      <c r="K28" s="33"/>
      <c r="L28" s="35"/>
    </row>
    <row r="29" spans="1:12" ht="30" customHeight="1" x14ac:dyDescent="0.25">
      <c r="A29" s="23" t="s">
        <v>2</v>
      </c>
      <c r="B29" s="24"/>
      <c r="C29" s="80" t="s">
        <v>16</v>
      </c>
      <c r="D29" s="80"/>
      <c r="E29" s="80"/>
      <c r="F29" s="80"/>
      <c r="G29" s="80" t="s">
        <v>16</v>
      </c>
      <c r="H29" s="80"/>
      <c r="I29" s="26"/>
      <c r="J29" s="32"/>
      <c r="K29" s="33"/>
      <c r="L29" s="35"/>
    </row>
    <row r="30" spans="1:12" ht="30" customHeight="1" x14ac:dyDescent="0.25">
      <c r="A30" s="23" t="s">
        <v>1</v>
      </c>
      <c r="B30" s="18"/>
      <c r="C30" s="81"/>
      <c r="D30" s="81"/>
      <c r="E30" s="81"/>
      <c r="F30" s="81"/>
      <c r="G30" s="81"/>
      <c r="H30" s="81"/>
      <c r="I30" s="19"/>
      <c r="J30" s="32"/>
      <c r="K30" s="33"/>
      <c r="L30" s="35"/>
    </row>
    <row r="31" spans="1:12" ht="30" customHeight="1" x14ac:dyDescent="0.25">
      <c r="A31" s="23" t="s">
        <v>2</v>
      </c>
      <c r="B31" s="25"/>
      <c r="C31" s="85"/>
      <c r="D31" s="85"/>
      <c r="E31" s="85"/>
      <c r="F31" s="85"/>
      <c r="G31" s="85"/>
      <c r="H31" s="85"/>
      <c r="I31" s="28"/>
      <c r="J31" s="32"/>
      <c r="K31" s="33"/>
      <c r="L31" s="12"/>
    </row>
  </sheetData>
  <mergeCells count="63">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s>
  <conditionalFormatting sqref="C3:H3">
    <cfRule type="expression" dxfId="25" priority="8" stopIfTrue="1">
      <formula>DAY(C3)&gt;8</formula>
    </cfRule>
  </conditionalFormatting>
  <conditionalFormatting sqref="C7:I8">
    <cfRule type="expression" dxfId="24" priority="7" stopIfTrue="1">
      <formula>AND(DAY(C7)&gt;=1,DAY(C7)&lt;=15)</formula>
    </cfRule>
  </conditionalFormatting>
  <conditionalFormatting sqref="C3:I8">
    <cfRule type="expression" dxfId="23" priority="9">
      <formula>VLOOKUP(DAY(C3),DiasTarefa,1,FALSE)=DAY(C3)</formula>
    </cfRule>
  </conditionalFormatting>
  <conditionalFormatting sqref="B13:I13 B15:I15 B17:I17 B19:I19 B21:I21 B23:I23 B25:I25 B27:I27 B29:I29 B31:I31">
    <cfRule type="expression" dxfId="22" priority="6">
      <formula>B13&lt;&gt;""</formula>
    </cfRule>
  </conditionalFormatting>
  <conditionalFormatting sqref="B12:I12 B14:I14 B16:I16 B18:I18 B20:I20 B22:I22 B24:I24 B26:I26 B28:I28 B30:I30">
    <cfRule type="expression" dxfId="21" priority="5">
      <formula>B12&lt;&gt;""</formula>
    </cfRule>
  </conditionalFormatting>
  <conditionalFormatting sqref="B13:I13 B15:I15 B17:I17 B19:I19 B21:I21 B23:I23 B25:I25 B27:I27 B29:I29">
    <cfRule type="expression" dxfId="20" priority="2">
      <formula>COLUMN(B13)&gt;=2</formula>
    </cfRule>
    <cfRule type="expression" dxfId="19" priority="4">
      <formula>COLUMN(B11)&gt;2</formula>
    </cfRule>
  </conditionalFormatting>
  <conditionalFormatting sqref="B31:I31">
    <cfRule type="expression" dxfId="18" priority="3">
      <formula>COLUMN(B12)&gt;2</formula>
    </cfRule>
  </conditionalFormatting>
  <conditionalFormatting sqref="B12:I31">
    <cfRule type="expression" dxfId="17" priority="1">
      <formula>COLUMN(B12)&gt;2</formula>
    </cfRule>
  </conditionalFormatting>
  <dataValidations count="13">
    <dataValidation allowBlank="1" showInputMessage="1" showErrorMessage="1" prompt="O calendário de outubro destaca automaticamente as entradas da lista de tarefas do mês. As fontes mais escuras são tarefas. As fontes mais claras são dias que pertencem ao mês anterior ou seguinte" sqref="B2" xr:uid="{00000000-0002-0000-0900-000000000000}"/>
    <dataValidation allowBlank="1" showInputMessage="1" showErrorMessage="1" prompt="O ano civil é atualizado automaticamente. Para alterar o ano, atualize a célula B1 na planilha de janeiro" sqref="B1" xr:uid="{00000000-0002-0000-0900-000001000000}"/>
    <dataValidation allowBlank="1" showInputMessage="1" showErrorMessage="1" prompt="Prepare um cronograma semanal e crie uma lista de tarefas nesta planilha. As tarefas são destacadas automaticamente no calendário mensal para o ano inserido em B1 na planilha de janeiro" sqref="A1" xr:uid="{00000000-0002-0000-0900-000002000000}"/>
    <dataValidation allowBlank="1" showInputMessage="1" showErrorMessage="1" prompt="Se esta célula não contiver o número 1, ela será um dia de um mês anterior. As células C3:I8 contêm datas do mês atual" sqref="C3" xr:uid="{00000000-0002-0000-0900-000003000000}"/>
    <dataValidation allowBlank="1" showInputMessage="1" showErrorMessage="1" prompt="Se esta linha contiver um número menor que o número ou a linha de números anterior, ela conterá datas para o próximo mês do calendário" sqref="C8" xr:uid="{00000000-0002-0000-0900-000004000000}"/>
    <dataValidation allowBlank="1" showInputMessage="1" showErrorMessage="1" prompt="Insira o horário nesta linha entre as colunas B e I" sqref="B12" xr:uid="{00000000-0002-0000-0900-000005000000}"/>
    <dataValidation allowBlank="1" showInputMessage="1" showErrorMessage="1" prompt="Insira a aula nesta linha entre as colunas B e I" sqref="B13" xr:uid="{00000000-0002-0000-0900-000006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900-000007000000}"/>
    <dataValidation allowBlank="1" showInputMessage="1" showErrorMessage="1" prompt="Insira os detalhes da tarefa nesta coluna, que corresponde ao dia da semana na coluna J e ao dia na coluna K para o mês do calendário à esquerda" sqref="L1" xr:uid="{00000000-0002-0000-0900-000008000000}"/>
    <dataValidation allowBlank="1" showInputMessage="1" showErrorMessage="1" prompt="Insira o dia do mês da tarefa nesta coluna, que corresponde ao dia da semana na coluna J. Essa data destacará a tarefa no calendário à esquerda" sqref="K1" xr:uid="{00000000-0002-0000-0900-000009000000}"/>
    <dataValidation allowBlank="1" showInputMessage="1" showErrorMessage="1" prompt="Os dias da semana estão nesta linha, de segunda a sexta" sqref="B11" xr:uid="{00000000-0002-0000-0900-00000A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900-00000B000000}"/>
    <dataValidation allowBlank="1" showInputMessage="1" showErrorMessage="1" prompt="As células C2:I2 contêm dias da semana" sqref="C2" xr:uid="{00000000-0002-0000-0900-00000C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A1:L31"/>
  <sheetViews>
    <sheetView showGridLines="0" zoomScaleNormal="100" zoomScalePageLayoutView="84" workbookViewId="0"/>
  </sheetViews>
  <sheetFormatPr defaultColWidth="8.625" defaultRowHeight="30" customHeight="1" x14ac:dyDescent="0.2"/>
  <cols>
    <col min="1" max="1" width="2.625" style="1" customWidth="1"/>
    <col min="2" max="2" width="20.625" style="12" customWidth="1"/>
    <col min="3" max="8" width="10.625" style="1" customWidth="1"/>
    <col min="9" max="9" width="20.625" style="1" customWidth="1"/>
    <col min="10" max="10" width="10.625" style="12" customWidth="1"/>
    <col min="11" max="11" width="10.625" style="2" customWidth="1"/>
    <col min="12" max="12" width="70.625" style="1" customWidth="1"/>
    <col min="13" max="13" width="2.625" customWidth="1"/>
  </cols>
  <sheetData>
    <row r="1" spans="1:12" ht="30" customHeight="1" x14ac:dyDescent="0.2">
      <c r="A1" s="12"/>
      <c r="B1" s="9">
        <f ca="1">AnoCivil</f>
        <v>2019</v>
      </c>
      <c r="J1" s="15" t="s">
        <v>0</v>
      </c>
      <c r="K1" s="15" t="s">
        <v>23</v>
      </c>
      <c r="L1" s="8" t="s">
        <v>24</v>
      </c>
    </row>
    <row r="2" spans="1:12" ht="30" customHeight="1" x14ac:dyDescent="0.25">
      <c r="A2" s="10"/>
      <c r="B2" s="20" t="s">
        <v>37</v>
      </c>
      <c r="C2" s="5" t="s">
        <v>12</v>
      </c>
      <c r="D2" s="5" t="s">
        <v>5</v>
      </c>
      <c r="E2" s="5" t="s">
        <v>17</v>
      </c>
      <c r="F2" s="5" t="s">
        <v>18</v>
      </c>
      <c r="G2" s="5" t="s">
        <v>19</v>
      </c>
      <c r="H2" s="5" t="s">
        <v>21</v>
      </c>
      <c r="I2" s="5" t="s">
        <v>22</v>
      </c>
      <c r="J2" s="32" t="s">
        <v>5</v>
      </c>
      <c r="K2" s="33"/>
      <c r="L2" s="35"/>
    </row>
    <row r="3" spans="1:12" ht="30" customHeight="1" x14ac:dyDescent="0.25">
      <c r="A3" s="10"/>
      <c r="C3" s="4">
        <f ca="1">IF(DAY(NovDom1)=1,NovDom1-6,NovDom1+1)</f>
        <v>43765</v>
      </c>
      <c r="D3" s="4">
        <f ca="1">IF(DAY(NovDom1)=1,NovDom1-5,NovDom1+2)</f>
        <v>43766</v>
      </c>
      <c r="E3" s="4">
        <f ca="1">IF(DAY(NovDom1)=1,NovDom1-4,NovDom1+3)</f>
        <v>43767</v>
      </c>
      <c r="F3" s="4">
        <f ca="1">IF(DAY(NovDom1)=1,NovDom1-3,NovDom1+4)</f>
        <v>43768</v>
      </c>
      <c r="G3" s="4">
        <f ca="1">IF(DAY(NovDom1)=1,NovDom1-2,NovDom1+5)</f>
        <v>43769</v>
      </c>
      <c r="H3" s="4">
        <f ca="1">IF(DAY(NovDom1)=1,NovDom1-1,NovDom1+6)</f>
        <v>43770</v>
      </c>
      <c r="I3" s="4">
        <f ca="1">IF(DAY(NovDom1)=1,NovDom1,NovDom1+7)</f>
        <v>43771</v>
      </c>
      <c r="J3" s="32"/>
      <c r="K3" s="33"/>
      <c r="L3" s="35"/>
    </row>
    <row r="4" spans="1:12" ht="30" customHeight="1" x14ac:dyDescent="0.25">
      <c r="A4" s="10"/>
      <c r="C4" s="4">
        <f ca="1">IF(DAY(NovDom1)=1,NovDom1+1,NovDom1+8)</f>
        <v>43772</v>
      </c>
      <c r="D4" s="4">
        <f ca="1">IF(DAY(NovDom1)=1,NovDom1+2,NovDom1+9)</f>
        <v>43773</v>
      </c>
      <c r="E4" s="4">
        <f ca="1">IF(DAY(NovDom1)=1,NovDom1+3,NovDom1+10)</f>
        <v>43774</v>
      </c>
      <c r="F4" s="4">
        <f ca="1">IF(DAY(NovDom1)=1,NovDom1+4,NovDom1+11)</f>
        <v>43775</v>
      </c>
      <c r="G4" s="4">
        <f ca="1">IF(DAY(NovDom1)=1,NovDom1+5,NovDom1+12)</f>
        <v>43776</v>
      </c>
      <c r="H4" s="4">
        <f ca="1">IF(DAY(NovDom1)=1,NovDom1+6,NovDom1+13)</f>
        <v>43777</v>
      </c>
      <c r="I4" s="4">
        <f ca="1">IF(DAY(NovDom1)=1,NovDom1+7,NovDom1+14)</f>
        <v>43778</v>
      </c>
      <c r="J4" s="32"/>
      <c r="K4" s="33"/>
      <c r="L4" s="35"/>
    </row>
    <row r="5" spans="1:12" ht="30" customHeight="1" x14ac:dyDescent="0.25">
      <c r="A5" s="10"/>
      <c r="C5" s="4">
        <f ca="1">IF(DAY(NovDom1)=1,NovDom1+8,NovDom1+15)</f>
        <v>43779</v>
      </c>
      <c r="D5" s="4">
        <f ca="1">IF(DAY(NovDom1)=1,NovDom1+9,NovDom1+16)</f>
        <v>43780</v>
      </c>
      <c r="E5" s="4">
        <f ca="1">IF(DAY(NovDom1)=1,NovDom1+10,NovDom1+17)</f>
        <v>43781</v>
      </c>
      <c r="F5" s="4">
        <f ca="1">IF(DAY(NovDom1)=1,NovDom1+11,NovDom1+18)</f>
        <v>43782</v>
      </c>
      <c r="G5" s="4">
        <f ca="1">IF(DAY(NovDom1)=1,NovDom1+12,NovDom1+19)</f>
        <v>43783</v>
      </c>
      <c r="H5" s="4">
        <f ca="1">IF(DAY(NovDom1)=1,NovDom1+13,NovDom1+20)</f>
        <v>43784</v>
      </c>
      <c r="I5" s="4">
        <f ca="1">IF(DAY(NovDom1)=1,NovDom1+14,NovDom1+21)</f>
        <v>43785</v>
      </c>
      <c r="J5" s="32"/>
      <c r="K5" s="33"/>
      <c r="L5" s="35"/>
    </row>
    <row r="6" spans="1:12" ht="30" customHeight="1" x14ac:dyDescent="0.25">
      <c r="A6" s="10"/>
      <c r="C6" s="4">
        <f ca="1">IF(DAY(NovDom1)=1,NovDom1+15,NovDom1+22)</f>
        <v>43786</v>
      </c>
      <c r="D6" s="4">
        <f ca="1">IF(DAY(NovDom1)=1,NovDom1+16,NovDom1+23)</f>
        <v>43787</v>
      </c>
      <c r="E6" s="4">
        <f ca="1">IF(DAY(NovDom1)=1,NovDom1+17,NovDom1+24)</f>
        <v>43788</v>
      </c>
      <c r="F6" s="4">
        <f ca="1">IF(DAY(NovDom1)=1,NovDom1+18,NovDom1+25)</f>
        <v>43789</v>
      </c>
      <c r="G6" s="4">
        <f ca="1">IF(DAY(NovDom1)=1,NovDom1+19,NovDom1+26)</f>
        <v>43790</v>
      </c>
      <c r="H6" s="4">
        <f ca="1">IF(DAY(NovDom1)=1,NovDom1+20,NovDom1+27)</f>
        <v>43791</v>
      </c>
      <c r="I6" s="4">
        <f ca="1">IF(DAY(NovDom1)=1,NovDom1+21,NovDom1+28)</f>
        <v>43792</v>
      </c>
      <c r="J6" s="32"/>
      <c r="K6" s="33"/>
      <c r="L6" s="35"/>
    </row>
    <row r="7" spans="1:12" ht="30" customHeight="1" x14ac:dyDescent="0.25">
      <c r="A7" s="10"/>
      <c r="C7" s="4">
        <f ca="1">IF(DAY(NovDom1)=1,NovDom1+22,NovDom1+29)</f>
        <v>43793</v>
      </c>
      <c r="D7" s="4">
        <f ca="1">IF(DAY(NovDom1)=1,NovDom1+23,NovDom1+30)</f>
        <v>43794</v>
      </c>
      <c r="E7" s="4">
        <f ca="1">IF(DAY(NovDom1)=1,NovDom1+24,NovDom1+31)</f>
        <v>43795</v>
      </c>
      <c r="F7" s="4">
        <f ca="1">IF(DAY(NovDom1)=1,NovDom1+25,NovDom1+32)</f>
        <v>43796</v>
      </c>
      <c r="G7" s="4">
        <f ca="1">IF(DAY(NovDom1)=1,NovDom1+26,NovDom1+33)</f>
        <v>43797</v>
      </c>
      <c r="H7" s="4">
        <f ca="1">IF(DAY(NovDom1)=1,NovDom1+27,NovDom1+34)</f>
        <v>43798</v>
      </c>
      <c r="I7" s="4">
        <f ca="1">IF(DAY(NovDom1)=1,NovDom1+28,NovDom1+35)</f>
        <v>43799</v>
      </c>
      <c r="J7" s="16"/>
      <c r="K7" s="14"/>
      <c r="L7" s="36"/>
    </row>
    <row r="8" spans="1:12" ht="30" customHeight="1" x14ac:dyDescent="0.25">
      <c r="A8" s="10"/>
      <c r="B8" s="13"/>
      <c r="C8" s="4">
        <f ca="1">IF(DAY(NovDom1)=1,NovDom1+29,NovDom1+36)</f>
        <v>43800</v>
      </c>
      <c r="D8" s="4">
        <f ca="1">IF(DAY(NovDom1)=1,NovDom1+30,NovDom1+37)</f>
        <v>43801</v>
      </c>
      <c r="E8" s="4">
        <f ca="1">IF(DAY(NovDom1)=1,NovDom1+31,NovDom1+38)</f>
        <v>43802</v>
      </c>
      <c r="F8" s="4">
        <f ca="1">IF(DAY(NovDom1)=1,NovDom1+32,NovDom1+39)</f>
        <v>43803</v>
      </c>
      <c r="G8" s="4">
        <f ca="1">IF(DAY(NovDom1)=1,NovDom1+33,NovDom1+40)</f>
        <v>43804</v>
      </c>
      <c r="H8" s="4">
        <f ca="1">IF(DAY(NovDom1)=1,NovDom1+34,NovDom1+41)</f>
        <v>43805</v>
      </c>
      <c r="I8" s="4">
        <f ca="1">IF(DAY(NovDom1)=1,NovDom1+35,NovDom1+42)</f>
        <v>43806</v>
      </c>
      <c r="J8" s="32" t="s">
        <v>17</v>
      </c>
      <c r="K8" s="17"/>
      <c r="L8" s="35"/>
    </row>
    <row r="9" spans="1:12" ht="30" customHeight="1" x14ac:dyDescent="0.25">
      <c r="A9" s="10"/>
      <c r="C9" s="3"/>
      <c r="D9" s="3"/>
      <c r="E9" s="3"/>
      <c r="F9" s="3"/>
      <c r="G9" s="3"/>
      <c r="H9" s="3"/>
      <c r="I9" s="3"/>
      <c r="J9" s="32"/>
      <c r="K9" s="33"/>
      <c r="L9" s="35"/>
    </row>
    <row r="10" spans="1:12" ht="30" customHeight="1" x14ac:dyDescent="0.25">
      <c r="A10" s="10"/>
      <c r="B10" s="11" t="s">
        <v>4</v>
      </c>
      <c r="C10" s="6"/>
      <c r="D10" s="6"/>
      <c r="E10" s="6"/>
      <c r="F10" s="6"/>
      <c r="G10" s="6"/>
      <c r="H10" s="6"/>
      <c r="I10" s="6"/>
      <c r="J10" s="32"/>
      <c r="K10" s="33"/>
      <c r="L10" s="35"/>
    </row>
    <row r="11" spans="1:12" ht="30" customHeight="1" x14ac:dyDescent="0.25">
      <c r="A11" s="23" t="s">
        <v>0</v>
      </c>
      <c r="B11" s="22" t="s">
        <v>5</v>
      </c>
      <c r="C11" s="82" t="s">
        <v>13</v>
      </c>
      <c r="D11" s="83"/>
      <c r="E11" s="82" t="s">
        <v>18</v>
      </c>
      <c r="F11" s="83"/>
      <c r="G11" s="82" t="s">
        <v>20</v>
      </c>
      <c r="H11" s="83"/>
      <c r="I11" s="31" t="s">
        <v>21</v>
      </c>
      <c r="J11" s="32"/>
      <c r="K11" s="33"/>
      <c r="L11" s="35"/>
    </row>
    <row r="12" spans="1:12" ht="30" customHeight="1" x14ac:dyDescent="0.25">
      <c r="A12" s="23" t="s">
        <v>1</v>
      </c>
      <c r="B12" s="18" t="s">
        <v>6</v>
      </c>
      <c r="C12" s="84"/>
      <c r="D12" s="84"/>
      <c r="E12" s="84" t="s">
        <v>6</v>
      </c>
      <c r="F12" s="84"/>
      <c r="G12" s="84"/>
      <c r="H12" s="84"/>
      <c r="I12" s="19" t="s">
        <v>6</v>
      </c>
      <c r="J12" s="32"/>
      <c r="K12" s="33"/>
      <c r="L12" s="35"/>
    </row>
    <row r="13" spans="1:12" ht="30" customHeight="1" x14ac:dyDescent="0.25">
      <c r="A13" s="23" t="s">
        <v>2</v>
      </c>
      <c r="B13" s="24" t="s">
        <v>7</v>
      </c>
      <c r="C13" s="80"/>
      <c r="D13" s="80"/>
      <c r="E13" s="80" t="s">
        <v>7</v>
      </c>
      <c r="F13" s="80"/>
      <c r="G13" s="80"/>
      <c r="H13" s="80"/>
      <c r="I13" s="26" t="s">
        <v>7</v>
      </c>
      <c r="J13" s="16"/>
      <c r="K13" s="14"/>
      <c r="L13" s="36"/>
    </row>
    <row r="14" spans="1:12" ht="30" customHeight="1" x14ac:dyDescent="0.25">
      <c r="A14" s="23" t="s">
        <v>1</v>
      </c>
      <c r="B14" s="18"/>
      <c r="C14" s="84" t="s">
        <v>14</v>
      </c>
      <c r="D14" s="84"/>
      <c r="E14" s="84"/>
      <c r="F14" s="84"/>
      <c r="G14" s="84" t="s">
        <v>14</v>
      </c>
      <c r="H14" s="84"/>
      <c r="I14" s="19"/>
      <c r="J14" s="32" t="s">
        <v>18</v>
      </c>
      <c r="K14" s="17"/>
      <c r="L14" s="35"/>
    </row>
    <row r="15" spans="1:12" ht="30" customHeight="1" x14ac:dyDescent="0.25">
      <c r="A15" s="23" t="s">
        <v>2</v>
      </c>
      <c r="B15" s="24"/>
      <c r="C15" s="80" t="s">
        <v>15</v>
      </c>
      <c r="D15" s="80"/>
      <c r="E15" s="80"/>
      <c r="F15" s="80"/>
      <c r="G15" s="80" t="s">
        <v>15</v>
      </c>
      <c r="H15" s="80"/>
      <c r="I15" s="26"/>
      <c r="J15" s="32"/>
      <c r="K15" s="33"/>
      <c r="L15" s="35"/>
    </row>
    <row r="16" spans="1:12" ht="30" customHeight="1" x14ac:dyDescent="0.25">
      <c r="A16" s="23" t="s">
        <v>1</v>
      </c>
      <c r="B16" s="18" t="s">
        <v>8</v>
      </c>
      <c r="C16" s="84"/>
      <c r="D16" s="84"/>
      <c r="E16" s="84" t="s">
        <v>8</v>
      </c>
      <c r="F16" s="84"/>
      <c r="G16" s="84"/>
      <c r="H16" s="84"/>
      <c r="I16" s="21" t="s">
        <v>8</v>
      </c>
      <c r="J16" s="32"/>
      <c r="K16" s="33"/>
      <c r="L16" s="35"/>
    </row>
    <row r="17" spans="1:12" ht="30" customHeight="1" x14ac:dyDescent="0.25">
      <c r="A17" s="23" t="s">
        <v>2</v>
      </c>
      <c r="B17" s="24" t="s">
        <v>9</v>
      </c>
      <c r="C17" s="80"/>
      <c r="D17" s="80"/>
      <c r="E17" s="80" t="s">
        <v>9</v>
      </c>
      <c r="F17" s="80"/>
      <c r="G17" s="80"/>
      <c r="H17" s="80"/>
      <c r="I17" s="26" t="s">
        <v>9</v>
      </c>
      <c r="J17" s="32"/>
      <c r="K17" s="33"/>
      <c r="L17" s="35"/>
    </row>
    <row r="18" spans="1:12" ht="30" customHeight="1" x14ac:dyDescent="0.25">
      <c r="A18" s="23" t="s">
        <v>1</v>
      </c>
      <c r="B18" s="18"/>
      <c r="C18" s="84"/>
      <c r="D18" s="84"/>
      <c r="E18" s="84"/>
      <c r="F18" s="84"/>
      <c r="G18" s="84"/>
      <c r="H18" s="84"/>
      <c r="I18" s="19"/>
      <c r="J18" s="32"/>
      <c r="K18" s="33"/>
      <c r="L18" s="35"/>
    </row>
    <row r="19" spans="1:12" ht="30" customHeight="1" x14ac:dyDescent="0.25">
      <c r="A19" s="23" t="s">
        <v>2</v>
      </c>
      <c r="B19" s="24"/>
      <c r="C19" s="80"/>
      <c r="D19" s="80"/>
      <c r="E19" s="80"/>
      <c r="F19" s="80"/>
      <c r="G19" s="80"/>
      <c r="H19" s="80"/>
      <c r="I19" s="39"/>
      <c r="J19" s="16"/>
      <c r="K19" s="14"/>
      <c r="L19" s="37"/>
    </row>
    <row r="20" spans="1:12" ht="30" customHeight="1" x14ac:dyDescent="0.25">
      <c r="A20" s="23" t="s">
        <v>1</v>
      </c>
      <c r="B20" s="18"/>
      <c r="C20" s="84"/>
      <c r="D20" s="84"/>
      <c r="E20" s="84"/>
      <c r="F20" s="84"/>
      <c r="G20" s="84"/>
      <c r="H20" s="84"/>
      <c r="I20" s="19"/>
      <c r="J20" s="32" t="s">
        <v>19</v>
      </c>
      <c r="K20" s="17"/>
      <c r="L20" s="35"/>
    </row>
    <row r="21" spans="1:12" ht="30" customHeight="1" x14ac:dyDescent="0.25">
      <c r="A21" s="23" t="s">
        <v>2</v>
      </c>
      <c r="B21" s="24"/>
      <c r="C21" s="80"/>
      <c r="D21" s="80"/>
      <c r="E21" s="80"/>
      <c r="F21" s="80"/>
      <c r="G21" s="80"/>
      <c r="H21" s="80"/>
      <c r="I21" s="26"/>
      <c r="J21" s="32"/>
      <c r="K21" s="33"/>
      <c r="L21" s="35"/>
    </row>
    <row r="22" spans="1:12" ht="30" customHeight="1" x14ac:dyDescent="0.25">
      <c r="A22" s="23" t="s">
        <v>1</v>
      </c>
      <c r="B22" s="18"/>
      <c r="C22" s="84"/>
      <c r="D22" s="84"/>
      <c r="E22" s="84"/>
      <c r="F22" s="84"/>
      <c r="G22" s="84"/>
      <c r="H22" s="84"/>
      <c r="I22" s="19"/>
      <c r="J22" s="32"/>
      <c r="K22" s="33"/>
      <c r="L22" s="35"/>
    </row>
    <row r="23" spans="1:12" ht="30" customHeight="1" x14ac:dyDescent="0.25">
      <c r="A23" s="23" t="s">
        <v>2</v>
      </c>
      <c r="B23" s="24"/>
      <c r="C23" s="80"/>
      <c r="D23" s="80"/>
      <c r="E23" s="80"/>
      <c r="F23" s="80"/>
      <c r="G23" s="80"/>
      <c r="H23" s="80"/>
      <c r="I23" s="26"/>
      <c r="J23" s="32"/>
      <c r="K23" s="33"/>
      <c r="L23" s="35"/>
    </row>
    <row r="24" spans="1:12" ht="30" customHeight="1" x14ac:dyDescent="0.25">
      <c r="A24" s="23" t="s">
        <v>1</v>
      </c>
      <c r="B24" s="18">
        <v>0.58333333333333337</v>
      </c>
      <c r="C24" s="84"/>
      <c r="D24" s="84"/>
      <c r="E24" s="84">
        <v>0.58333333333333337</v>
      </c>
      <c r="F24" s="84"/>
      <c r="G24" s="84"/>
      <c r="H24" s="84"/>
      <c r="I24" s="19">
        <v>0.58333333333333337</v>
      </c>
      <c r="J24" s="32"/>
      <c r="K24" s="33"/>
      <c r="L24" s="35"/>
    </row>
    <row r="25" spans="1:12" ht="30" customHeight="1" x14ac:dyDescent="0.25">
      <c r="A25" s="23" t="s">
        <v>2</v>
      </c>
      <c r="B25" s="24" t="s">
        <v>10</v>
      </c>
      <c r="C25" s="80"/>
      <c r="D25" s="80"/>
      <c r="E25" s="80" t="s">
        <v>10</v>
      </c>
      <c r="F25" s="80"/>
      <c r="G25" s="80"/>
      <c r="H25" s="80"/>
      <c r="I25" s="26" t="s">
        <v>10</v>
      </c>
      <c r="J25" s="16"/>
      <c r="K25" s="14"/>
      <c r="L25" s="37"/>
    </row>
    <row r="26" spans="1:12" ht="30" customHeight="1" x14ac:dyDescent="0.25">
      <c r="A26" s="23" t="s">
        <v>1</v>
      </c>
      <c r="B26" s="18"/>
      <c r="C26" s="84"/>
      <c r="D26" s="84"/>
      <c r="E26" s="84"/>
      <c r="F26" s="84"/>
      <c r="G26" s="84"/>
      <c r="H26" s="84"/>
      <c r="I26" s="19"/>
      <c r="J26" s="32" t="s">
        <v>21</v>
      </c>
      <c r="K26" s="17"/>
      <c r="L26" s="35"/>
    </row>
    <row r="27" spans="1:12" ht="30" customHeight="1" x14ac:dyDescent="0.25">
      <c r="A27" s="23" t="s">
        <v>2</v>
      </c>
      <c r="B27" s="24"/>
      <c r="C27" s="80"/>
      <c r="D27" s="80"/>
      <c r="E27" s="80"/>
      <c r="F27" s="80"/>
      <c r="G27" s="80"/>
      <c r="H27" s="80"/>
      <c r="I27" s="26"/>
      <c r="J27" s="32"/>
      <c r="K27" s="33"/>
      <c r="L27" s="35"/>
    </row>
    <row r="28" spans="1:12" ht="30" customHeight="1" x14ac:dyDescent="0.25">
      <c r="A28" s="23" t="s">
        <v>1</v>
      </c>
      <c r="B28" s="18"/>
      <c r="C28" s="84">
        <v>0.66666666666666663</v>
      </c>
      <c r="D28" s="84"/>
      <c r="E28" s="84"/>
      <c r="F28" s="84"/>
      <c r="G28" s="84">
        <v>0.66666666666666663</v>
      </c>
      <c r="H28" s="84"/>
      <c r="I28" s="19"/>
      <c r="J28" s="32"/>
      <c r="K28" s="33"/>
      <c r="L28" s="35"/>
    </row>
    <row r="29" spans="1:12" ht="30" customHeight="1" x14ac:dyDescent="0.25">
      <c r="A29" s="23" t="s">
        <v>2</v>
      </c>
      <c r="B29" s="24"/>
      <c r="C29" s="80" t="s">
        <v>16</v>
      </c>
      <c r="D29" s="80"/>
      <c r="E29" s="80"/>
      <c r="F29" s="80"/>
      <c r="G29" s="80" t="s">
        <v>16</v>
      </c>
      <c r="H29" s="80"/>
      <c r="I29" s="26"/>
      <c r="J29" s="32"/>
      <c r="K29" s="33"/>
      <c r="L29" s="35"/>
    </row>
    <row r="30" spans="1:12" ht="30" customHeight="1" x14ac:dyDescent="0.25">
      <c r="A30" s="23" t="s">
        <v>1</v>
      </c>
      <c r="B30" s="18"/>
      <c r="C30" s="84"/>
      <c r="D30" s="84"/>
      <c r="E30" s="84"/>
      <c r="F30" s="84"/>
      <c r="G30" s="84"/>
      <c r="H30" s="84"/>
      <c r="I30" s="19"/>
      <c r="J30" s="32"/>
      <c r="K30" s="33"/>
      <c r="L30" s="35"/>
    </row>
    <row r="31" spans="1:12" ht="30" customHeight="1" x14ac:dyDescent="0.25">
      <c r="A31" s="23" t="s">
        <v>2</v>
      </c>
      <c r="B31" s="25"/>
      <c r="C31" s="85"/>
      <c r="D31" s="85"/>
      <c r="E31" s="85"/>
      <c r="F31" s="85"/>
      <c r="G31" s="85"/>
      <c r="H31" s="85"/>
      <c r="I31" s="28"/>
      <c r="J31" s="32"/>
      <c r="K31" s="33"/>
      <c r="L31" s="12"/>
    </row>
  </sheetData>
  <mergeCells count="63">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s>
  <conditionalFormatting sqref="C3:H3">
    <cfRule type="expression" dxfId="15" priority="6" stopIfTrue="1">
      <formula>DAY(C3)&gt;8</formula>
    </cfRule>
  </conditionalFormatting>
  <conditionalFormatting sqref="C7:I8">
    <cfRule type="expression" dxfId="14" priority="5" stopIfTrue="1">
      <formula>AND(DAY(C7)&gt;=1,DAY(C7)&lt;=15)</formula>
    </cfRule>
  </conditionalFormatting>
  <conditionalFormatting sqref="C3:I8">
    <cfRule type="expression" dxfId="13" priority="7">
      <formula>VLOOKUP(DAY(C3),DiasTarefa,1,FALSE)=DAY(C3)</formula>
    </cfRule>
  </conditionalFormatting>
  <conditionalFormatting sqref="B13:I13 B15:I15 B17:I17 B19:I19 B21:I21 B23:I23 B25:I25 B27:I27 B29:I29 B31:I31">
    <cfRule type="expression" dxfId="12" priority="4">
      <formula>B13&lt;&gt;""</formula>
    </cfRule>
  </conditionalFormatting>
  <conditionalFormatting sqref="B12:I12 B14:I14 B16:I16 B18:I18 B20:I20 B22:I22 B24:I24 B26:I26 B28:I28 B30:I30">
    <cfRule type="expression" dxfId="11" priority="3">
      <formula>B12&lt;&gt;""</formula>
    </cfRule>
  </conditionalFormatting>
  <conditionalFormatting sqref="B13:I13 B15:I15 B17:I17 B19:I19 B21:I21 B23:I23 B25:I25 B27:I27 B29:I29">
    <cfRule type="expression" dxfId="10" priority="2">
      <formula>COLUMN(B13)&gt;=2</formula>
    </cfRule>
  </conditionalFormatting>
  <conditionalFormatting sqref="B12:I31">
    <cfRule type="expression" dxfId="9" priority="1">
      <formula>COLUMN(B12)&gt;2</formula>
    </cfRule>
  </conditionalFormatting>
  <dataValidations xWindow="136" yWindow="382" count="13">
    <dataValidation allowBlank="1" showInputMessage="1" showErrorMessage="1" prompt="Insira a aula nesta linha entre as colunas B e I" sqref="B13" xr:uid="{00000000-0002-0000-0A00-000000000000}"/>
    <dataValidation allowBlank="1" showInputMessage="1" showErrorMessage="1" prompt="Insira o horário nesta linha entre as colunas B e I" sqref="B12" xr:uid="{00000000-0002-0000-0A00-000001000000}"/>
    <dataValidation allowBlank="1" showInputMessage="1" showErrorMessage="1" prompt="Se esta linha contiver um número menor que o número ou a linha de números anterior, ela conterá datas para o próximo mês do calendário" sqref="C8" xr:uid="{00000000-0002-0000-0A00-000002000000}"/>
    <dataValidation allowBlank="1" showInputMessage="1" showErrorMessage="1" prompt="Se esta célula não contiver o número 1, ela será um dia de um mês anterior. As células C3:I8 contêm datas do mês atual" sqref="C3" xr:uid="{00000000-0002-0000-0A00-000003000000}"/>
    <dataValidation allowBlank="1" showInputMessage="1" showErrorMessage="1" prompt="Prepare um cronograma semanal e crie uma lista de tarefas nesta planilha. As tarefas são destacadas automaticamente no calendário mensal para o ano inserido em B1 na planilha de janeiro" sqref="A1" xr:uid="{00000000-0002-0000-0A00-000004000000}"/>
    <dataValidation allowBlank="1" showInputMessage="1" showErrorMessage="1" prompt="O ano civil é atualizado automaticamente. Para alterar o ano, atualize a célula B1 na planilha de janeiro" sqref="B1" xr:uid="{00000000-0002-0000-0A00-000005000000}"/>
    <dataValidation allowBlank="1" showInputMessage="1" showErrorMessage="1" prompt="O calendário de novembro destaca automaticamente as entradas da lista de tarefas do mês. As fontes mais escuras são tarefas. As fontes mais claras são dias que pertencem ao mês anterior ou seguinte" sqref="B2" xr:uid="{00000000-0002-0000-0A00-000006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A00-000007000000}"/>
    <dataValidation allowBlank="1" showInputMessage="1" showErrorMessage="1" prompt="Insira os detalhes da tarefa nesta coluna, que corresponde ao dia da semana na coluna J e ao dia na coluna K para o mês do calendário à esquerda" sqref="L1" xr:uid="{00000000-0002-0000-0A00-000008000000}"/>
    <dataValidation allowBlank="1" showInputMessage="1" showErrorMessage="1" prompt="Insira o dia do mês da tarefa nesta coluna, que corresponde ao dia da semana na coluna J. Essa data destacará a tarefa no calendário à esquerda" sqref="K1" xr:uid="{00000000-0002-0000-0A00-000009000000}"/>
    <dataValidation allowBlank="1" showInputMessage="1" showErrorMessage="1" prompt="Os dias da semana estão nesta linha, de segunda a sexta" sqref="B11" xr:uid="{00000000-0002-0000-0A00-00000A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A00-00000B000000}"/>
    <dataValidation allowBlank="1" showInputMessage="1" showErrorMessage="1" prompt="As células C2:I2 contêm dias da semana" sqref="C2" xr:uid="{00000000-0002-0000-0A00-00000C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pageSetUpPr fitToPage="1"/>
  </sheetPr>
  <dimension ref="A1:L31"/>
  <sheetViews>
    <sheetView showGridLines="0" zoomScaleNormal="100" zoomScalePageLayoutView="84" workbookViewId="0"/>
  </sheetViews>
  <sheetFormatPr defaultColWidth="8.625" defaultRowHeight="30" customHeight="1" x14ac:dyDescent="0.2"/>
  <cols>
    <col min="1" max="1" width="2.625" style="1" customWidth="1"/>
    <col min="2" max="2" width="20.625" style="12" customWidth="1"/>
    <col min="3" max="8" width="10.625" style="1" customWidth="1"/>
    <col min="9" max="9" width="20.625" style="1" customWidth="1"/>
    <col min="10" max="10" width="10.625" style="12" customWidth="1"/>
    <col min="11" max="11" width="10.625" style="2" customWidth="1"/>
    <col min="12" max="12" width="70.625" style="1" customWidth="1"/>
    <col min="13" max="13" width="2.625" customWidth="1"/>
  </cols>
  <sheetData>
    <row r="1" spans="1:12" ht="30" customHeight="1" x14ac:dyDescent="0.2">
      <c r="A1" s="12"/>
      <c r="B1" s="9">
        <f ca="1">AnoCivil</f>
        <v>2019</v>
      </c>
      <c r="J1" s="15" t="s">
        <v>0</v>
      </c>
      <c r="K1" s="15" t="s">
        <v>23</v>
      </c>
      <c r="L1" s="8" t="s">
        <v>24</v>
      </c>
    </row>
    <row r="2" spans="1:12" ht="30" customHeight="1" x14ac:dyDescent="0.25">
      <c r="A2" s="10"/>
      <c r="B2" s="20" t="s">
        <v>38</v>
      </c>
      <c r="C2" s="5" t="s">
        <v>12</v>
      </c>
      <c r="D2" s="5" t="s">
        <v>5</v>
      </c>
      <c r="E2" s="5" t="s">
        <v>17</v>
      </c>
      <c r="F2" s="5" t="s">
        <v>18</v>
      </c>
      <c r="G2" s="5" t="s">
        <v>19</v>
      </c>
      <c r="H2" s="5" t="s">
        <v>21</v>
      </c>
      <c r="I2" s="5" t="s">
        <v>22</v>
      </c>
      <c r="J2" s="32" t="s">
        <v>5</v>
      </c>
      <c r="K2" s="33"/>
      <c r="L2" s="35"/>
    </row>
    <row r="3" spans="1:12" ht="30" customHeight="1" x14ac:dyDescent="0.25">
      <c r="A3" s="10"/>
      <c r="C3" s="4">
        <f ca="1">IF(DAY(DezDom1)=1,DezDom1-6,DezDom1+1)</f>
        <v>43800</v>
      </c>
      <c r="D3" s="4">
        <f ca="1">IF(DAY(DezDom1)=1,DezDom1-5,DezDom1+2)</f>
        <v>43801</v>
      </c>
      <c r="E3" s="4">
        <f ca="1">IF(DAY(DezDom1)=1,DezDom1-4,DezDom1+3)</f>
        <v>43802</v>
      </c>
      <c r="F3" s="4">
        <f ca="1">IF(DAY(DezDom1)=1,DezDom1-3,DezDom1+4)</f>
        <v>43803</v>
      </c>
      <c r="G3" s="4">
        <f ca="1">IF(DAY(DezDom1)=1,DezDom1-2,DezDom1+5)</f>
        <v>43804</v>
      </c>
      <c r="H3" s="4">
        <f ca="1">IF(DAY(DezDom1)=1,DezDom1-1,DezDom1+6)</f>
        <v>43805</v>
      </c>
      <c r="I3" s="4">
        <f ca="1">IF(DAY(DezDom1)=1,DezDom1,DezDom1+7)</f>
        <v>43806</v>
      </c>
      <c r="J3" s="32"/>
      <c r="K3" s="33"/>
      <c r="L3" s="35"/>
    </row>
    <row r="4" spans="1:12" ht="30" customHeight="1" x14ac:dyDescent="0.25">
      <c r="A4" s="10"/>
      <c r="C4" s="4">
        <f ca="1">IF(DAY(DezDom1)=1,DezDom1+1,DezDom1+8)</f>
        <v>43807</v>
      </c>
      <c r="D4" s="4">
        <f ca="1">IF(DAY(DezDom1)=1,DezDom1+2,DezDom1+9)</f>
        <v>43808</v>
      </c>
      <c r="E4" s="4">
        <f ca="1">IF(DAY(DezDom1)=1,DezDom1+3,DezDom1+10)</f>
        <v>43809</v>
      </c>
      <c r="F4" s="4">
        <f ca="1">IF(DAY(DezDom1)=1,DezDom1+4,DezDom1+11)</f>
        <v>43810</v>
      </c>
      <c r="G4" s="4">
        <f ca="1">IF(DAY(DezDom1)=1,DezDom1+5,DezDom1+12)</f>
        <v>43811</v>
      </c>
      <c r="H4" s="4">
        <f ca="1">IF(DAY(DezDom1)=1,DezDom1+6,DezDom1+13)</f>
        <v>43812</v>
      </c>
      <c r="I4" s="4">
        <f ca="1">IF(DAY(DezDom1)=1,DezDom1+7,DezDom1+14)</f>
        <v>43813</v>
      </c>
      <c r="J4" s="32"/>
      <c r="K4" s="33"/>
      <c r="L4" s="35"/>
    </row>
    <row r="5" spans="1:12" ht="30" customHeight="1" x14ac:dyDescent="0.25">
      <c r="A5" s="10"/>
      <c r="C5" s="4">
        <f ca="1">IF(DAY(DezDom1)=1,DezDom1+8,DezDom1+15)</f>
        <v>43814</v>
      </c>
      <c r="D5" s="4">
        <f ca="1">IF(DAY(DezDom1)=1,DezDom1+9,DezDom1+16)</f>
        <v>43815</v>
      </c>
      <c r="E5" s="4">
        <f ca="1">IF(DAY(DezDom1)=1,DezDom1+10,DezDom1+17)</f>
        <v>43816</v>
      </c>
      <c r="F5" s="4">
        <f ca="1">IF(DAY(DezDom1)=1,DezDom1+11,DezDom1+18)</f>
        <v>43817</v>
      </c>
      <c r="G5" s="4">
        <f ca="1">IF(DAY(DezDom1)=1,DezDom1+12,DezDom1+19)</f>
        <v>43818</v>
      </c>
      <c r="H5" s="4">
        <f ca="1">IF(DAY(DezDom1)=1,DezDom1+13,DezDom1+20)</f>
        <v>43819</v>
      </c>
      <c r="I5" s="4">
        <f ca="1">IF(DAY(DezDom1)=1,DezDom1+14,DezDom1+21)</f>
        <v>43820</v>
      </c>
      <c r="J5" s="32"/>
      <c r="K5" s="33"/>
      <c r="L5" s="35"/>
    </row>
    <row r="6" spans="1:12" ht="30" customHeight="1" x14ac:dyDescent="0.25">
      <c r="A6" s="10"/>
      <c r="C6" s="4">
        <f ca="1">IF(DAY(DezDom1)=1,DezDom1+15,DezDom1+22)</f>
        <v>43821</v>
      </c>
      <c r="D6" s="4">
        <f ca="1">IF(DAY(DezDom1)=1,DezDom1+16,DezDom1+23)</f>
        <v>43822</v>
      </c>
      <c r="E6" s="4">
        <f ca="1">IF(DAY(DezDom1)=1,DezDom1+17,DezDom1+24)</f>
        <v>43823</v>
      </c>
      <c r="F6" s="4">
        <f ca="1">IF(DAY(DezDom1)=1,DezDom1+18,DezDom1+25)</f>
        <v>43824</v>
      </c>
      <c r="G6" s="4">
        <f ca="1">IF(DAY(DezDom1)=1,DezDom1+19,DezDom1+26)</f>
        <v>43825</v>
      </c>
      <c r="H6" s="4">
        <f ca="1">IF(DAY(DezDom1)=1,DezDom1+20,DezDom1+27)</f>
        <v>43826</v>
      </c>
      <c r="I6" s="4">
        <f ca="1">IF(DAY(DezDom1)=1,DezDom1+21,DezDom1+28)</f>
        <v>43827</v>
      </c>
      <c r="J6" s="32"/>
      <c r="K6" s="33"/>
      <c r="L6" s="35"/>
    </row>
    <row r="7" spans="1:12" ht="30" customHeight="1" x14ac:dyDescent="0.25">
      <c r="A7" s="10"/>
      <c r="C7" s="4">
        <f ca="1">IF(DAY(DezDom1)=1,DezDom1+22,DezDom1+29)</f>
        <v>43828</v>
      </c>
      <c r="D7" s="4">
        <f ca="1">IF(DAY(DezDom1)=1,DezDom1+23,DezDom1+30)</f>
        <v>43829</v>
      </c>
      <c r="E7" s="4">
        <f ca="1">IF(DAY(DezDom1)=1,DezDom1+24,DezDom1+31)</f>
        <v>43830</v>
      </c>
      <c r="F7" s="4">
        <f ca="1">IF(DAY(DezDom1)=1,DezDom1+25,DezDom1+32)</f>
        <v>43831</v>
      </c>
      <c r="G7" s="4">
        <f ca="1">IF(DAY(DezDom1)=1,DezDom1+26,DezDom1+33)</f>
        <v>43832</v>
      </c>
      <c r="H7" s="4">
        <f ca="1">IF(DAY(DezDom1)=1,DezDom1+27,DezDom1+34)</f>
        <v>43833</v>
      </c>
      <c r="I7" s="4">
        <f ca="1">IF(DAY(DezDom1)=1,DezDom1+28,DezDom1+35)</f>
        <v>43834</v>
      </c>
      <c r="J7" s="16"/>
      <c r="K7" s="14"/>
      <c r="L7" s="36"/>
    </row>
    <row r="8" spans="1:12" ht="30" customHeight="1" x14ac:dyDescent="0.25">
      <c r="A8" s="10"/>
      <c r="B8" s="13"/>
      <c r="C8" s="4">
        <f ca="1">IF(DAY(DezDom1)=1,DezDom1+29,DezDom1+36)</f>
        <v>43835</v>
      </c>
      <c r="D8" s="4">
        <f ca="1">IF(DAY(DezDom1)=1,DezDom1+30,DezDom1+37)</f>
        <v>43836</v>
      </c>
      <c r="E8" s="4">
        <f ca="1">IF(DAY(DezDom1)=1,DezDom1+31,DezDom1+38)</f>
        <v>43837</v>
      </c>
      <c r="F8" s="4">
        <f ca="1">IF(DAY(DezDom1)=1,DezDom1+32,DezDom1+39)</f>
        <v>43838</v>
      </c>
      <c r="G8" s="4">
        <f ca="1">IF(DAY(DezDom1)=1,DezDom1+33,DezDom1+40)</f>
        <v>43839</v>
      </c>
      <c r="H8" s="4">
        <f ca="1">IF(DAY(DezDom1)=1,DezDom1+34,DezDom1+41)</f>
        <v>43840</v>
      </c>
      <c r="I8" s="4">
        <f ca="1">IF(DAY(DezDom1)=1,DezDom1+35,DezDom1+42)</f>
        <v>43841</v>
      </c>
      <c r="J8" s="32" t="s">
        <v>17</v>
      </c>
      <c r="K8" s="33"/>
      <c r="L8" s="35"/>
    </row>
    <row r="9" spans="1:12" ht="30" customHeight="1" x14ac:dyDescent="0.25">
      <c r="A9" s="10"/>
      <c r="C9" s="3"/>
      <c r="D9" s="3"/>
      <c r="E9" s="3"/>
      <c r="F9" s="3"/>
      <c r="G9" s="3"/>
      <c r="H9" s="3"/>
      <c r="I9" s="3"/>
      <c r="J9" s="32"/>
      <c r="K9" s="33"/>
      <c r="L9" s="35"/>
    </row>
    <row r="10" spans="1:12" ht="30" customHeight="1" x14ac:dyDescent="0.25">
      <c r="A10" s="10"/>
      <c r="B10" s="11" t="s">
        <v>4</v>
      </c>
      <c r="C10" s="6"/>
      <c r="D10" s="6"/>
      <c r="E10" s="6"/>
      <c r="F10" s="6"/>
      <c r="G10" s="6"/>
      <c r="H10" s="6"/>
      <c r="I10" s="6"/>
      <c r="J10" s="32"/>
      <c r="K10" s="33"/>
      <c r="L10" s="35"/>
    </row>
    <row r="11" spans="1:12" ht="30" customHeight="1" x14ac:dyDescent="0.25">
      <c r="A11" s="23" t="s">
        <v>0</v>
      </c>
      <c r="B11" s="22" t="s">
        <v>5</v>
      </c>
      <c r="C11" s="82" t="s">
        <v>13</v>
      </c>
      <c r="D11" s="83"/>
      <c r="E11" s="82" t="s">
        <v>18</v>
      </c>
      <c r="F11" s="83"/>
      <c r="G11" s="82" t="s">
        <v>20</v>
      </c>
      <c r="H11" s="83"/>
      <c r="I11" s="31" t="s">
        <v>21</v>
      </c>
      <c r="J11" s="32"/>
      <c r="K11" s="33"/>
      <c r="L11" s="35"/>
    </row>
    <row r="12" spans="1:12" ht="30" customHeight="1" x14ac:dyDescent="0.25">
      <c r="A12" s="23" t="s">
        <v>1</v>
      </c>
      <c r="B12" s="18" t="s">
        <v>6</v>
      </c>
      <c r="C12" s="84"/>
      <c r="D12" s="84"/>
      <c r="E12" s="84" t="s">
        <v>6</v>
      </c>
      <c r="F12" s="84"/>
      <c r="G12" s="84"/>
      <c r="H12" s="84"/>
      <c r="I12" s="19" t="s">
        <v>6</v>
      </c>
      <c r="J12" s="32"/>
      <c r="K12" s="33"/>
      <c r="L12" s="35"/>
    </row>
    <row r="13" spans="1:12" ht="30" customHeight="1" x14ac:dyDescent="0.25">
      <c r="A13" s="23" t="s">
        <v>2</v>
      </c>
      <c r="B13" s="24" t="s">
        <v>7</v>
      </c>
      <c r="C13" s="80"/>
      <c r="D13" s="80"/>
      <c r="E13" s="80" t="s">
        <v>7</v>
      </c>
      <c r="F13" s="80"/>
      <c r="G13" s="80"/>
      <c r="H13" s="80"/>
      <c r="I13" s="26" t="s">
        <v>7</v>
      </c>
      <c r="J13" s="16"/>
      <c r="K13" s="14"/>
      <c r="L13" s="36"/>
    </row>
    <row r="14" spans="1:12" ht="30" customHeight="1" x14ac:dyDescent="0.25">
      <c r="A14" s="23" t="s">
        <v>1</v>
      </c>
      <c r="B14" s="18"/>
      <c r="C14" s="84" t="s">
        <v>14</v>
      </c>
      <c r="D14" s="84"/>
      <c r="E14" s="84"/>
      <c r="F14" s="84"/>
      <c r="G14" s="84" t="s">
        <v>14</v>
      </c>
      <c r="H14" s="84"/>
      <c r="I14" s="19"/>
      <c r="J14" s="32" t="s">
        <v>18</v>
      </c>
      <c r="K14" s="33"/>
      <c r="L14" s="35"/>
    </row>
    <row r="15" spans="1:12" ht="30" customHeight="1" x14ac:dyDescent="0.25">
      <c r="A15" s="23" t="s">
        <v>2</v>
      </c>
      <c r="B15" s="24"/>
      <c r="C15" s="80" t="s">
        <v>15</v>
      </c>
      <c r="D15" s="80"/>
      <c r="E15" s="80"/>
      <c r="F15" s="80"/>
      <c r="G15" s="80" t="s">
        <v>15</v>
      </c>
      <c r="H15" s="80"/>
      <c r="I15" s="26"/>
      <c r="J15" s="32"/>
      <c r="K15" s="33"/>
      <c r="L15" s="35"/>
    </row>
    <row r="16" spans="1:12" ht="30" customHeight="1" x14ac:dyDescent="0.25">
      <c r="A16" s="23" t="s">
        <v>1</v>
      </c>
      <c r="B16" s="18" t="s">
        <v>8</v>
      </c>
      <c r="C16" s="84"/>
      <c r="D16" s="84"/>
      <c r="E16" s="84" t="s">
        <v>8</v>
      </c>
      <c r="F16" s="84"/>
      <c r="G16" s="84"/>
      <c r="H16" s="84"/>
      <c r="I16" s="21" t="s">
        <v>8</v>
      </c>
      <c r="J16" s="32"/>
      <c r="K16" s="33"/>
      <c r="L16" s="35"/>
    </row>
    <row r="17" spans="1:12" ht="30" customHeight="1" x14ac:dyDescent="0.25">
      <c r="A17" s="23" t="s">
        <v>2</v>
      </c>
      <c r="B17" s="24" t="s">
        <v>9</v>
      </c>
      <c r="C17" s="80"/>
      <c r="D17" s="80"/>
      <c r="E17" s="80" t="s">
        <v>9</v>
      </c>
      <c r="F17" s="80"/>
      <c r="G17" s="80"/>
      <c r="H17" s="80"/>
      <c r="I17" s="26" t="s">
        <v>9</v>
      </c>
      <c r="J17" s="32"/>
      <c r="K17" s="33"/>
      <c r="L17" s="35"/>
    </row>
    <row r="18" spans="1:12" ht="30" customHeight="1" x14ac:dyDescent="0.25">
      <c r="A18" s="23" t="s">
        <v>1</v>
      </c>
      <c r="B18" s="18"/>
      <c r="C18" s="84"/>
      <c r="D18" s="84"/>
      <c r="E18" s="84"/>
      <c r="F18" s="84"/>
      <c r="G18" s="84"/>
      <c r="H18" s="84"/>
      <c r="I18" s="19"/>
      <c r="J18" s="32"/>
      <c r="K18" s="33"/>
      <c r="L18" s="35"/>
    </row>
    <row r="19" spans="1:12" ht="30" customHeight="1" x14ac:dyDescent="0.25">
      <c r="A19" s="23" t="s">
        <v>2</v>
      </c>
      <c r="B19" s="24"/>
      <c r="C19" s="80"/>
      <c r="D19" s="80"/>
      <c r="E19" s="80"/>
      <c r="F19" s="80"/>
      <c r="G19" s="80"/>
      <c r="H19" s="80"/>
      <c r="I19" s="39"/>
      <c r="J19" s="16"/>
      <c r="K19" s="14"/>
      <c r="L19" s="36"/>
    </row>
    <row r="20" spans="1:12" ht="30" customHeight="1" x14ac:dyDescent="0.25">
      <c r="A20" s="23" t="s">
        <v>1</v>
      </c>
      <c r="B20" s="18"/>
      <c r="C20" s="84"/>
      <c r="D20" s="84"/>
      <c r="E20" s="84"/>
      <c r="F20" s="84"/>
      <c r="G20" s="84"/>
      <c r="H20" s="84"/>
      <c r="I20" s="19"/>
      <c r="J20" s="32" t="s">
        <v>19</v>
      </c>
      <c r="K20" s="33"/>
      <c r="L20" s="35"/>
    </row>
    <row r="21" spans="1:12" ht="30" customHeight="1" x14ac:dyDescent="0.25">
      <c r="A21" s="23" t="s">
        <v>2</v>
      </c>
      <c r="B21" s="24"/>
      <c r="C21" s="80"/>
      <c r="D21" s="80"/>
      <c r="E21" s="80"/>
      <c r="F21" s="80"/>
      <c r="G21" s="80"/>
      <c r="H21" s="80"/>
      <c r="I21" s="26"/>
      <c r="J21" s="32"/>
      <c r="K21" s="33"/>
      <c r="L21" s="35"/>
    </row>
    <row r="22" spans="1:12" ht="30" customHeight="1" x14ac:dyDescent="0.25">
      <c r="A22" s="23" t="s">
        <v>1</v>
      </c>
      <c r="B22" s="18"/>
      <c r="C22" s="84"/>
      <c r="D22" s="84"/>
      <c r="E22" s="84"/>
      <c r="F22" s="84"/>
      <c r="G22" s="84"/>
      <c r="H22" s="84"/>
      <c r="I22" s="19"/>
      <c r="J22" s="32"/>
      <c r="K22" s="33"/>
      <c r="L22" s="35"/>
    </row>
    <row r="23" spans="1:12" ht="30" customHeight="1" x14ac:dyDescent="0.25">
      <c r="A23" s="23" t="s">
        <v>2</v>
      </c>
      <c r="B23" s="24"/>
      <c r="C23" s="80"/>
      <c r="D23" s="80"/>
      <c r="E23" s="80"/>
      <c r="F23" s="80"/>
      <c r="G23" s="80"/>
      <c r="H23" s="80"/>
      <c r="I23" s="26"/>
      <c r="J23" s="32"/>
      <c r="K23" s="33"/>
      <c r="L23" s="35"/>
    </row>
    <row r="24" spans="1:12" ht="30" customHeight="1" x14ac:dyDescent="0.25">
      <c r="A24" s="23" t="s">
        <v>1</v>
      </c>
      <c r="B24" s="18">
        <v>0.58333333333333337</v>
      </c>
      <c r="C24" s="84"/>
      <c r="D24" s="84"/>
      <c r="E24" s="84">
        <v>0.58333333333333337</v>
      </c>
      <c r="F24" s="84"/>
      <c r="G24" s="84"/>
      <c r="H24" s="84"/>
      <c r="I24" s="19">
        <v>0.58333333333333337</v>
      </c>
      <c r="J24" s="32"/>
      <c r="K24" s="33"/>
      <c r="L24" s="35"/>
    </row>
    <row r="25" spans="1:12" ht="30" customHeight="1" x14ac:dyDescent="0.25">
      <c r="A25" s="23" t="s">
        <v>2</v>
      </c>
      <c r="B25" s="24" t="s">
        <v>10</v>
      </c>
      <c r="C25" s="80"/>
      <c r="D25" s="80"/>
      <c r="E25" s="80" t="s">
        <v>10</v>
      </c>
      <c r="F25" s="80"/>
      <c r="G25" s="80"/>
      <c r="H25" s="80"/>
      <c r="I25" s="26" t="s">
        <v>10</v>
      </c>
      <c r="J25" s="16"/>
      <c r="K25" s="14"/>
      <c r="L25" s="36"/>
    </row>
    <row r="26" spans="1:12" ht="30" customHeight="1" x14ac:dyDescent="0.25">
      <c r="A26" s="23" t="s">
        <v>1</v>
      </c>
      <c r="B26" s="18"/>
      <c r="C26" s="84"/>
      <c r="D26" s="84"/>
      <c r="E26" s="84"/>
      <c r="F26" s="84"/>
      <c r="G26" s="84"/>
      <c r="H26" s="84"/>
      <c r="I26" s="19"/>
      <c r="J26" s="32" t="s">
        <v>21</v>
      </c>
      <c r="K26" s="33"/>
      <c r="L26" s="35"/>
    </row>
    <row r="27" spans="1:12" ht="30" customHeight="1" x14ac:dyDescent="0.25">
      <c r="A27" s="23" t="s">
        <v>2</v>
      </c>
      <c r="B27" s="24"/>
      <c r="C27" s="80"/>
      <c r="D27" s="80"/>
      <c r="E27" s="80"/>
      <c r="F27" s="80"/>
      <c r="G27" s="80"/>
      <c r="H27" s="80"/>
      <c r="I27" s="26"/>
      <c r="J27" s="32"/>
      <c r="K27" s="33"/>
      <c r="L27" s="35"/>
    </row>
    <row r="28" spans="1:12" ht="30" customHeight="1" x14ac:dyDescent="0.25">
      <c r="A28" s="23" t="s">
        <v>1</v>
      </c>
      <c r="B28" s="18"/>
      <c r="C28" s="84">
        <v>0.66666666666666663</v>
      </c>
      <c r="D28" s="84"/>
      <c r="E28" s="84"/>
      <c r="F28" s="84"/>
      <c r="G28" s="84">
        <v>0.66666666666666663</v>
      </c>
      <c r="H28" s="84"/>
      <c r="I28" s="19"/>
      <c r="J28" s="32"/>
      <c r="K28" s="33"/>
      <c r="L28" s="35"/>
    </row>
    <row r="29" spans="1:12" ht="30" customHeight="1" x14ac:dyDescent="0.25">
      <c r="A29" s="23" t="s">
        <v>2</v>
      </c>
      <c r="B29" s="24"/>
      <c r="C29" s="80" t="s">
        <v>16</v>
      </c>
      <c r="D29" s="80"/>
      <c r="E29" s="80"/>
      <c r="F29" s="80"/>
      <c r="G29" s="80" t="s">
        <v>16</v>
      </c>
      <c r="H29" s="80"/>
      <c r="I29" s="26"/>
      <c r="J29" s="32"/>
      <c r="K29" s="33"/>
      <c r="L29" s="35"/>
    </row>
    <row r="30" spans="1:12" ht="30" customHeight="1" x14ac:dyDescent="0.25">
      <c r="A30" s="23" t="s">
        <v>1</v>
      </c>
      <c r="B30" s="18"/>
      <c r="C30" s="84"/>
      <c r="D30" s="84"/>
      <c r="E30" s="84"/>
      <c r="F30" s="84"/>
      <c r="G30" s="84"/>
      <c r="H30" s="84"/>
      <c r="I30" s="19"/>
      <c r="J30" s="32"/>
      <c r="K30" s="33"/>
      <c r="L30" s="35"/>
    </row>
    <row r="31" spans="1:12" ht="30" customHeight="1" x14ac:dyDescent="0.25">
      <c r="A31" s="23" t="s">
        <v>2</v>
      </c>
      <c r="B31" s="25"/>
      <c r="C31" s="85"/>
      <c r="D31" s="85"/>
      <c r="E31" s="85"/>
      <c r="F31" s="85"/>
      <c r="G31" s="85"/>
      <c r="H31" s="85"/>
      <c r="I31" s="28"/>
      <c r="J31" s="32"/>
      <c r="K31" s="33"/>
      <c r="L31" s="12"/>
    </row>
  </sheetData>
  <mergeCells count="63">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s>
  <conditionalFormatting sqref="C3:H3">
    <cfRule type="expression" dxfId="7" priority="6" stopIfTrue="1">
      <formula>DAY(C3)&gt;8</formula>
    </cfRule>
  </conditionalFormatting>
  <conditionalFormatting sqref="C7:I8">
    <cfRule type="expression" dxfId="6" priority="5" stopIfTrue="1">
      <formula>AND(DAY(C7)&gt;=1,DAY(C7)&lt;=15)</formula>
    </cfRule>
  </conditionalFormatting>
  <conditionalFormatting sqref="C3:I8">
    <cfRule type="expression" dxfId="5" priority="7">
      <formula>VLOOKUP(DAY(C3),DiasTarefa,1,FALSE)=DAY(C3)</formula>
    </cfRule>
  </conditionalFormatting>
  <conditionalFormatting sqref="B13:I13 B15:I15 B17:I17 B19:I19 B21:I21 B23:I23 B25:I25 B27:I27 B29:I29 B31:I31">
    <cfRule type="expression" dxfId="4" priority="4">
      <formula>B13&lt;&gt;""</formula>
    </cfRule>
  </conditionalFormatting>
  <conditionalFormatting sqref="B12:I12 B14:I14 B16:I16 B18:I18 B20:I20 B22:I22 B24:I24 B26:I26 B28:I28 B30:I30">
    <cfRule type="expression" dxfId="3" priority="3">
      <formula>B12&lt;&gt;""</formula>
    </cfRule>
  </conditionalFormatting>
  <conditionalFormatting sqref="B13:I13 B15:I15 B17:I17 B19:I19 B21:I21 B23:I23 B25:I25 B27:I27 B29:I29">
    <cfRule type="expression" dxfId="2" priority="2">
      <formula>COLUMN(B13)&gt;=2</formula>
    </cfRule>
  </conditionalFormatting>
  <conditionalFormatting sqref="B12:I31">
    <cfRule type="expression" dxfId="1" priority="1">
      <formula>COLUMN(B12)&gt;2</formula>
    </cfRule>
  </conditionalFormatting>
  <dataValidations xWindow="282" yWindow="695" count="13">
    <dataValidation allowBlank="1" showInputMessage="1" showErrorMessage="1" prompt="O calendário de dezembro destaca automaticamente as entradas da lista de tarefas do mês. As fontes mais escuras são tarefas. As fontes mais claras são dias que pertencem ao mês anterior ou seguinte" sqref="B2" xr:uid="{00000000-0002-0000-0B00-000000000000}"/>
    <dataValidation allowBlank="1" showInputMessage="1" showErrorMessage="1" prompt="O ano civil é atualizado automaticamente. Para alterar o ano, atualize a célula B1 na planilha de janeiro" sqref="B1" xr:uid="{00000000-0002-0000-0B00-000001000000}"/>
    <dataValidation allowBlank="1" showInputMessage="1" showErrorMessage="1" prompt="Prepare um cronograma semanal e crie uma lista de tarefas nesta planilha. As tarefas são destacadas automaticamente no calendário mensal para o ano inserido em B1 na planilha de janeiro" sqref="A1" xr:uid="{00000000-0002-0000-0B00-000002000000}"/>
    <dataValidation allowBlank="1" showInputMessage="1" showErrorMessage="1" prompt="Se esta célula não contiver o número 1, ela será um dia de um mês anterior. As células C3:I8 contêm datas do mês atual" sqref="C3" xr:uid="{00000000-0002-0000-0B00-000003000000}"/>
    <dataValidation allowBlank="1" showInputMessage="1" showErrorMessage="1" prompt="Se esta linha contiver um número menor que o número ou a linha de números anterior, ela conterá datas para o próximo mês do calendário" sqref="C8" xr:uid="{00000000-0002-0000-0B00-000004000000}"/>
    <dataValidation allowBlank="1" showInputMessage="1" showErrorMessage="1" prompt="Insira o horário nesta linha entre as colunas B e I" sqref="B12" xr:uid="{00000000-0002-0000-0B00-000005000000}"/>
    <dataValidation allowBlank="1" showInputMessage="1" showErrorMessage="1" prompt="Insira a aula nesta linha entre as colunas B e I" sqref="B13" xr:uid="{00000000-0002-0000-0B00-000006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B00-000007000000}"/>
    <dataValidation allowBlank="1" showInputMessage="1" showErrorMessage="1" prompt="Insira os detalhes da tarefa nesta coluna, que corresponde ao dia da semana na coluna J e ao dia na coluna K para o mês do calendário à esquerda" sqref="L1" xr:uid="{00000000-0002-0000-0B00-000008000000}"/>
    <dataValidation allowBlank="1" showInputMessage="1" showErrorMessage="1" prompt="Insira o dia do mês da tarefa nesta coluna, que corresponde ao dia da semana na coluna J. Essa data destacará a tarefa no calendário à esquerda" sqref="K1" xr:uid="{00000000-0002-0000-0B00-000009000000}"/>
    <dataValidation allowBlank="1" showInputMessage="1" showErrorMessage="1" prompt="Os dias da semana estão nesta linha, de segunda a sexta" sqref="B11" xr:uid="{00000000-0002-0000-0B00-00000A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B00-00000B000000}"/>
    <dataValidation allowBlank="1" showInputMessage="1" showErrorMessage="1" prompt="As células C2:I2 contêm dias da semana" sqref="C2" xr:uid="{00000000-0002-0000-0B00-00000C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L31"/>
  <sheetViews>
    <sheetView showGridLines="0" zoomScaleNormal="100" zoomScalePageLayoutView="84" workbookViewId="0"/>
  </sheetViews>
  <sheetFormatPr defaultColWidth="8.625" defaultRowHeight="30" customHeight="1" x14ac:dyDescent="0.2"/>
  <cols>
    <col min="1" max="1" width="2.625" style="1" customWidth="1"/>
    <col min="2" max="2" width="20.625" style="12" customWidth="1"/>
    <col min="3" max="8" width="10.625" style="1" customWidth="1"/>
    <col min="9" max="9" width="20.625" style="1" customWidth="1"/>
    <col min="10" max="10" width="10.625" style="1" customWidth="1"/>
    <col min="11" max="11" width="10.625" customWidth="1"/>
    <col min="12" max="12" width="70.625" style="1" customWidth="1"/>
    <col min="13" max="13" width="2.625" customWidth="1"/>
  </cols>
  <sheetData>
    <row r="1" spans="1:12" ht="30" customHeight="1" x14ac:dyDescent="0.2">
      <c r="A1" s="71"/>
      <c r="B1" s="9">
        <f ca="1">AnoCivil</f>
        <v>2019</v>
      </c>
      <c r="J1" s="15" t="s">
        <v>0</v>
      </c>
      <c r="K1" s="15" t="s">
        <v>23</v>
      </c>
      <c r="L1" s="8" t="s">
        <v>24</v>
      </c>
    </row>
    <row r="2" spans="1:12" ht="30" customHeight="1" x14ac:dyDescent="0.25">
      <c r="A2" s="10"/>
      <c r="B2" s="20" t="s">
        <v>27</v>
      </c>
      <c r="C2" s="5" t="s">
        <v>12</v>
      </c>
      <c r="D2" s="5" t="s">
        <v>5</v>
      </c>
      <c r="E2" s="5" t="s">
        <v>17</v>
      </c>
      <c r="F2" s="5" t="s">
        <v>18</v>
      </c>
      <c r="G2" s="5" t="s">
        <v>19</v>
      </c>
      <c r="H2" s="5" t="s">
        <v>21</v>
      </c>
      <c r="I2" s="5" t="s">
        <v>22</v>
      </c>
      <c r="J2" s="32" t="s">
        <v>5</v>
      </c>
      <c r="K2" s="33"/>
      <c r="L2" s="35"/>
    </row>
    <row r="3" spans="1:12" ht="30" customHeight="1" x14ac:dyDescent="0.25">
      <c r="A3" s="10"/>
      <c r="C3" s="4">
        <f ca="1">IF(DAY(FevDom1)=1,FevDom1-6,FevDom1+1)</f>
        <v>43492</v>
      </c>
      <c r="D3" s="4">
        <f ca="1">IF(DAY(FevDom1)=1,FevDom1-5,FevDom1+2)</f>
        <v>43493</v>
      </c>
      <c r="E3" s="4">
        <f ca="1">IF(DAY(FevDom1)=1,FevDom1-4,FevDom1+3)</f>
        <v>43494</v>
      </c>
      <c r="F3" s="4">
        <f ca="1">IF(DAY(FevDom1)=1,FevDom1-3,FevDom1+4)</f>
        <v>43495</v>
      </c>
      <c r="G3" s="4">
        <f ca="1">IF(DAY(FevDom1)=1,FevDom1-2,FevDom1+5)</f>
        <v>43496</v>
      </c>
      <c r="H3" s="4">
        <f ca="1">IF(DAY(FevDom1)=1,FevDom1-1,FevDom1+6)</f>
        <v>43497</v>
      </c>
      <c r="I3" s="4">
        <f ca="1">IF(DAY(FevDom1)=1,FevDom1,FevDom1+7)</f>
        <v>43498</v>
      </c>
      <c r="J3" s="32"/>
      <c r="K3" s="33"/>
      <c r="L3" s="35"/>
    </row>
    <row r="4" spans="1:12" ht="30" customHeight="1" x14ac:dyDescent="0.25">
      <c r="A4" s="10"/>
      <c r="C4" s="4">
        <f ca="1">IF(DAY(FevDom1)=1,FevDom1+1,FevDom1+8)</f>
        <v>43499</v>
      </c>
      <c r="D4" s="4">
        <f ca="1">IF(DAY(FevDom1)=1,FevDom1+2,FevDom1+9)</f>
        <v>43500</v>
      </c>
      <c r="E4" s="4">
        <f ca="1">IF(DAY(FevDom1)=1,FevDom1+3,FevDom1+10)</f>
        <v>43501</v>
      </c>
      <c r="F4" s="4">
        <f ca="1">IF(DAY(FevDom1)=1,FevDom1+4,FevDom1+11)</f>
        <v>43502</v>
      </c>
      <c r="G4" s="4">
        <f ca="1">IF(DAY(FevDom1)=1,FevDom1+5,FevDom1+12)</f>
        <v>43503</v>
      </c>
      <c r="H4" s="4">
        <f ca="1">IF(DAY(FevDom1)=1,FevDom1+6,FevDom1+13)</f>
        <v>43504</v>
      </c>
      <c r="I4" s="4">
        <f ca="1">IF(DAY(FevDom1)=1,FevDom1+7,FevDom1+14)</f>
        <v>43505</v>
      </c>
      <c r="J4" s="32"/>
      <c r="K4" s="33"/>
      <c r="L4" s="35"/>
    </row>
    <row r="5" spans="1:12" ht="30" customHeight="1" x14ac:dyDescent="0.25">
      <c r="A5" s="10"/>
      <c r="C5" s="4">
        <f ca="1">IF(DAY(FevDom1)=1,FevDom1+8,FevDom1+15)</f>
        <v>43506</v>
      </c>
      <c r="D5" s="4">
        <f ca="1">IF(DAY(FevDom1)=1,FevDom1+9,FevDom1+16)</f>
        <v>43507</v>
      </c>
      <c r="E5" s="4">
        <f ca="1">IF(DAY(FevDom1)=1,FevDom1+10,FevDom1+17)</f>
        <v>43508</v>
      </c>
      <c r="F5" s="4">
        <f ca="1">IF(DAY(FevDom1)=1,FevDom1+11,FevDom1+18)</f>
        <v>43509</v>
      </c>
      <c r="G5" s="4">
        <f ca="1">IF(DAY(FevDom1)=1,FevDom1+12,FevDom1+19)</f>
        <v>43510</v>
      </c>
      <c r="H5" s="4">
        <f ca="1">IF(DAY(FevDom1)=1,FevDom1+13,FevDom1+20)</f>
        <v>43511</v>
      </c>
      <c r="I5" s="4">
        <f ca="1">IF(DAY(FevDom1)=1,FevDom1+14,FevDom1+21)</f>
        <v>43512</v>
      </c>
      <c r="J5" s="32"/>
      <c r="K5" s="33"/>
      <c r="L5" s="35"/>
    </row>
    <row r="6" spans="1:12" ht="30" customHeight="1" x14ac:dyDescent="0.25">
      <c r="A6" s="10"/>
      <c r="C6" s="4">
        <f ca="1">IF(DAY(FevDom1)=1,FevDom1+15,FevDom1+22)</f>
        <v>43513</v>
      </c>
      <c r="D6" s="4">
        <f ca="1">IF(DAY(FevDom1)=1,FevDom1+16,FevDom1+23)</f>
        <v>43514</v>
      </c>
      <c r="E6" s="4">
        <f ca="1">IF(DAY(FevDom1)=1,FevDom1+17,FevDom1+24)</f>
        <v>43515</v>
      </c>
      <c r="F6" s="4">
        <f ca="1">IF(DAY(FevDom1)=1,FevDom1+18,FevDom1+25)</f>
        <v>43516</v>
      </c>
      <c r="G6" s="4">
        <f ca="1">IF(DAY(FevDom1)=1,FevDom1+19,FevDom1+26)</f>
        <v>43517</v>
      </c>
      <c r="H6" s="4">
        <f ca="1">IF(DAY(FevDom1)=1,FevDom1+20,FevDom1+27)</f>
        <v>43518</v>
      </c>
      <c r="I6" s="4">
        <f ca="1">IF(DAY(FevDom1)=1,FevDom1+21,FevDom1+28)</f>
        <v>43519</v>
      </c>
      <c r="J6" s="32"/>
      <c r="K6" s="33"/>
      <c r="L6" s="35"/>
    </row>
    <row r="7" spans="1:12" ht="30" customHeight="1" x14ac:dyDescent="0.25">
      <c r="A7" s="10"/>
      <c r="C7" s="4">
        <f ca="1">IF(DAY(FevDom1)=1,FevDom1+22,FevDom1+29)</f>
        <v>43520</v>
      </c>
      <c r="D7" s="4">
        <f ca="1">IF(DAY(FevDom1)=1,FevDom1+23,FevDom1+30)</f>
        <v>43521</v>
      </c>
      <c r="E7" s="4">
        <f ca="1">IF(DAY(FevDom1)=1,FevDom1+24,FevDom1+31)</f>
        <v>43522</v>
      </c>
      <c r="F7" s="4">
        <f ca="1">IF(DAY(FevDom1)=1,FevDom1+25,FevDom1+32)</f>
        <v>43523</v>
      </c>
      <c r="G7" s="4">
        <f ca="1">IF(DAY(FevDom1)=1,FevDom1+26,FevDom1+33)</f>
        <v>43524</v>
      </c>
      <c r="H7" s="4">
        <f ca="1">IF(DAY(FevDom1)=1,FevDom1+27,FevDom1+34)</f>
        <v>43525</v>
      </c>
      <c r="I7" s="4">
        <f ca="1">IF(DAY(FevDom1)=1,FevDom1+28,FevDom1+35)</f>
        <v>43526</v>
      </c>
      <c r="J7" s="16"/>
      <c r="K7" s="14"/>
      <c r="L7" s="36"/>
    </row>
    <row r="8" spans="1:12" ht="30" customHeight="1" x14ac:dyDescent="0.25">
      <c r="A8" s="10"/>
      <c r="B8" s="13"/>
      <c r="C8" s="4">
        <f ca="1">IF(DAY(FevDom1)=1,FevDom1+29,FevDom1+36)</f>
        <v>43527</v>
      </c>
      <c r="D8" s="4">
        <f ca="1">IF(DAY(FevDom1)=1,FevDom1+30,FevDom1+37)</f>
        <v>43528</v>
      </c>
      <c r="E8" s="4">
        <f ca="1">IF(DAY(FevDom1)=1,FevDom1+31,FevDom1+38)</f>
        <v>43529</v>
      </c>
      <c r="F8" s="4">
        <f ca="1">IF(DAY(FevDom1)=1,FevDom1+32,FevDom1+39)</f>
        <v>43530</v>
      </c>
      <c r="G8" s="4">
        <f ca="1">IF(DAY(FevDom1)=1,FevDom1+33,FevDom1+40)</f>
        <v>43531</v>
      </c>
      <c r="H8" s="4">
        <f ca="1">IF(DAY(FevDom1)=1,FevDom1+34,FevDom1+41)</f>
        <v>43532</v>
      </c>
      <c r="I8" s="4">
        <f ca="1">IF(DAY(FevDom1)=1,FevDom1+35,FevDom1+42)</f>
        <v>43533</v>
      </c>
      <c r="J8" s="32" t="s">
        <v>17</v>
      </c>
      <c r="K8" s="17"/>
      <c r="L8" s="35"/>
    </row>
    <row r="9" spans="1:12" ht="30" customHeight="1" x14ac:dyDescent="0.25">
      <c r="A9" s="10"/>
      <c r="C9" s="3"/>
      <c r="D9" s="3"/>
      <c r="E9" s="3"/>
      <c r="F9" s="3"/>
      <c r="G9" s="3"/>
      <c r="H9" s="3"/>
      <c r="I9" s="3"/>
      <c r="J9" s="32"/>
      <c r="K9" s="33"/>
      <c r="L9" s="35"/>
    </row>
    <row r="10" spans="1:12" ht="30" customHeight="1" x14ac:dyDescent="0.25">
      <c r="A10" s="10"/>
      <c r="B10" s="11" t="s">
        <v>4</v>
      </c>
      <c r="C10" s="6"/>
      <c r="D10" s="6"/>
      <c r="E10" s="6"/>
      <c r="F10" s="6"/>
      <c r="G10" s="6"/>
      <c r="H10" s="6"/>
      <c r="I10" s="6"/>
      <c r="J10" s="32"/>
      <c r="K10" s="33"/>
      <c r="L10" s="35"/>
    </row>
    <row r="11" spans="1:12" ht="30" customHeight="1" x14ac:dyDescent="0.25">
      <c r="A11" s="23" t="s">
        <v>0</v>
      </c>
      <c r="B11" s="22" t="s">
        <v>5</v>
      </c>
      <c r="C11" s="82" t="s">
        <v>13</v>
      </c>
      <c r="D11" s="83"/>
      <c r="E11" s="82" t="s">
        <v>18</v>
      </c>
      <c r="F11" s="83"/>
      <c r="G11" s="82" t="s">
        <v>20</v>
      </c>
      <c r="H11" s="83"/>
      <c r="I11" s="31" t="s">
        <v>21</v>
      </c>
      <c r="J11" s="32"/>
      <c r="K11" s="33"/>
      <c r="L11" s="35"/>
    </row>
    <row r="12" spans="1:12" ht="30" customHeight="1" x14ac:dyDescent="0.25">
      <c r="A12" s="23" t="s">
        <v>1</v>
      </c>
      <c r="B12" s="18" t="s">
        <v>6</v>
      </c>
      <c r="C12" s="84"/>
      <c r="D12" s="84"/>
      <c r="E12" s="84" t="s">
        <v>6</v>
      </c>
      <c r="F12" s="84"/>
      <c r="G12" s="84"/>
      <c r="H12" s="84"/>
      <c r="I12" s="19" t="s">
        <v>6</v>
      </c>
      <c r="J12" s="32"/>
      <c r="K12" s="33"/>
      <c r="L12" s="35"/>
    </row>
    <row r="13" spans="1:12" ht="30" customHeight="1" x14ac:dyDescent="0.25">
      <c r="A13" s="23" t="s">
        <v>2</v>
      </c>
      <c r="B13" s="24" t="s">
        <v>7</v>
      </c>
      <c r="C13" s="80"/>
      <c r="D13" s="80"/>
      <c r="E13" s="80" t="s">
        <v>7</v>
      </c>
      <c r="F13" s="80"/>
      <c r="G13" s="80"/>
      <c r="H13" s="80"/>
      <c r="I13" s="26" t="s">
        <v>7</v>
      </c>
      <c r="J13" s="16"/>
      <c r="K13" s="14"/>
      <c r="L13" s="36"/>
    </row>
    <row r="14" spans="1:12" ht="30" customHeight="1" x14ac:dyDescent="0.25">
      <c r="A14" s="23" t="s">
        <v>1</v>
      </c>
      <c r="B14" s="18"/>
      <c r="C14" s="81" t="s">
        <v>14</v>
      </c>
      <c r="D14" s="81"/>
      <c r="E14" s="81"/>
      <c r="F14" s="81"/>
      <c r="G14" s="81" t="s">
        <v>14</v>
      </c>
      <c r="H14" s="81"/>
      <c r="I14" s="19"/>
      <c r="J14" s="32" t="s">
        <v>18</v>
      </c>
      <c r="K14" s="17"/>
      <c r="L14" s="35"/>
    </row>
    <row r="15" spans="1:12" ht="30" customHeight="1" x14ac:dyDescent="0.25">
      <c r="A15" s="23" t="s">
        <v>2</v>
      </c>
      <c r="B15" s="24"/>
      <c r="C15" s="80" t="s">
        <v>15</v>
      </c>
      <c r="D15" s="80"/>
      <c r="E15" s="80"/>
      <c r="F15" s="80"/>
      <c r="G15" s="80" t="s">
        <v>15</v>
      </c>
      <c r="H15" s="80"/>
      <c r="I15" s="26"/>
      <c r="J15" s="32"/>
      <c r="K15" s="33"/>
      <c r="L15" s="35"/>
    </row>
    <row r="16" spans="1:12" ht="30" customHeight="1" x14ac:dyDescent="0.25">
      <c r="A16" s="23" t="s">
        <v>1</v>
      </c>
      <c r="B16" s="18" t="s">
        <v>8</v>
      </c>
      <c r="C16" s="81"/>
      <c r="D16" s="81"/>
      <c r="E16" s="81" t="s">
        <v>8</v>
      </c>
      <c r="F16" s="81"/>
      <c r="G16" s="81"/>
      <c r="H16" s="81"/>
      <c r="I16" s="21" t="s">
        <v>8</v>
      </c>
      <c r="J16" s="32"/>
      <c r="K16" s="33"/>
      <c r="L16" s="35"/>
    </row>
    <row r="17" spans="1:12" ht="30" customHeight="1" x14ac:dyDescent="0.25">
      <c r="A17" s="23" t="s">
        <v>2</v>
      </c>
      <c r="B17" s="24" t="s">
        <v>9</v>
      </c>
      <c r="C17" s="80"/>
      <c r="D17" s="80"/>
      <c r="E17" s="80" t="s">
        <v>9</v>
      </c>
      <c r="F17" s="80"/>
      <c r="G17" s="80"/>
      <c r="H17" s="80"/>
      <c r="I17" s="26" t="s">
        <v>9</v>
      </c>
      <c r="J17" s="32"/>
      <c r="K17" s="33"/>
      <c r="L17" s="35"/>
    </row>
    <row r="18" spans="1:12" ht="30" customHeight="1" x14ac:dyDescent="0.25">
      <c r="A18" s="23" t="s">
        <v>1</v>
      </c>
      <c r="B18" s="18"/>
      <c r="C18" s="81"/>
      <c r="D18" s="81"/>
      <c r="E18" s="81"/>
      <c r="F18" s="81"/>
      <c r="G18" s="81"/>
      <c r="H18" s="81"/>
      <c r="I18" s="19"/>
      <c r="J18" s="32"/>
      <c r="K18" s="33"/>
      <c r="L18" s="35"/>
    </row>
    <row r="19" spans="1:12" ht="30" customHeight="1" x14ac:dyDescent="0.25">
      <c r="A19" s="23" t="s">
        <v>2</v>
      </c>
      <c r="B19" s="24"/>
      <c r="C19" s="80"/>
      <c r="D19" s="80"/>
      <c r="E19" s="80"/>
      <c r="F19" s="80"/>
      <c r="G19" s="80"/>
      <c r="H19" s="80"/>
      <c r="I19" s="39"/>
      <c r="J19" s="16"/>
      <c r="K19" s="14"/>
      <c r="L19" s="36"/>
    </row>
    <row r="20" spans="1:12" ht="30" customHeight="1" x14ac:dyDescent="0.25">
      <c r="A20" s="23" t="s">
        <v>1</v>
      </c>
      <c r="B20" s="18"/>
      <c r="C20" s="81"/>
      <c r="D20" s="81"/>
      <c r="E20" s="81"/>
      <c r="F20" s="81"/>
      <c r="G20" s="81"/>
      <c r="H20" s="81"/>
      <c r="I20" s="19"/>
      <c r="J20" s="32" t="s">
        <v>19</v>
      </c>
      <c r="K20" s="17"/>
      <c r="L20" s="35"/>
    </row>
    <row r="21" spans="1:12" ht="30" customHeight="1" x14ac:dyDescent="0.25">
      <c r="A21" s="23" t="s">
        <v>2</v>
      </c>
      <c r="B21" s="24"/>
      <c r="C21" s="80"/>
      <c r="D21" s="80"/>
      <c r="E21" s="80"/>
      <c r="F21" s="80"/>
      <c r="G21" s="80"/>
      <c r="H21" s="80"/>
      <c r="I21" s="26"/>
      <c r="J21" s="32"/>
      <c r="K21" s="33"/>
      <c r="L21" s="35"/>
    </row>
    <row r="22" spans="1:12" ht="30" customHeight="1" x14ac:dyDescent="0.25">
      <c r="A22" s="23" t="s">
        <v>1</v>
      </c>
      <c r="B22" s="18"/>
      <c r="C22" s="81"/>
      <c r="D22" s="81"/>
      <c r="E22" s="81"/>
      <c r="F22" s="81"/>
      <c r="G22" s="81"/>
      <c r="H22" s="81"/>
      <c r="I22" s="19"/>
      <c r="J22" s="32"/>
      <c r="K22" s="33"/>
      <c r="L22" s="35"/>
    </row>
    <row r="23" spans="1:12" ht="30" customHeight="1" x14ac:dyDescent="0.25">
      <c r="A23" s="23" t="s">
        <v>2</v>
      </c>
      <c r="B23" s="24"/>
      <c r="C23" s="80"/>
      <c r="D23" s="80"/>
      <c r="E23" s="80"/>
      <c r="F23" s="80"/>
      <c r="G23" s="80"/>
      <c r="H23" s="80"/>
      <c r="I23" s="26"/>
      <c r="J23" s="32"/>
      <c r="K23" s="33"/>
      <c r="L23" s="35"/>
    </row>
    <row r="24" spans="1:12" ht="30" customHeight="1" x14ac:dyDescent="0.25">
      <c r="A24" s="23" t="s">
        <v>1</v>
      </c>
      <c r="B24" s="18">
        <v>0.58333333333333337</v>
      </c>
      <c r="C24" s="81"/>
      <c r="D24" s="81"/>
      <c r="E24" s="81">
        <v>0.58333333333333337</v>
      </c>
      <c r="F24" s="81"/>
      <c r="G24" s="81"/>
      <c r="H24" s="81"/>
      <c r="I24" s="19">
        <v>0.58333333333333337</v>
      </c>
      <c r="J24" s="32"/>
      <c r="K24" s="33"/>
      <c r="L24" s="35"/>
    </row>
    <row r="25" spans="1:12" ht="30" customHeight="1" x14ac:dyDescent="0.25">
      <c r="A25" s="23" t="s">
        <v>2</v>
      </c>
      <c r="B25" s="24" t="s">
        <v>10</v>
      </c>
      <c r="C25" s="80"/>
      <c r="D25" s="80"/>
      <c r="E25" s="80" t="s">
        <v>10</v>
      </c>
      <c r="F25" s="80"/>
      <c r="G25" s="80"/>
      <c r="H25" s="80"/>
      <c r="I25" s="26" t="s">
        <v>10</v>
      </c>
      <c r="J25" s="16"/>
      <c r="K25" s="14"/>
      <c r="L25" s="36"/>
    </row>
    <row r="26" spans="1:12" ht="30" customHeight="1" x14ac:dyDescent="0.25">
      <c r="A26" s="23" t="s">
        <v>1</v>
      </c>
      <c r="B26" s="18"/>
      <c r="C26" s="81"/>
      <c r="D26" s="81"/>
      <c r="E26" s="81"/>
      <c r="F26" s="81"/>
      <c r="G26" s="81"/>
      <c r="H26" s="81"/>
      <c r="I26" s="19"/>
      <c r="J26" s="32" t="s">
        <v>21</v>
      </c>
      <c r="K26" s="17"/>
      <c r="L26" s="35"/>
    </row>
    <row r="27" spans="1:12" ht="30" customHeight="1" x14ac:dyDescent="0.25">
      <c r="A27" s="23" t="s">
        <v>2</v>
      </c>
      <c r="B27" s="24"/>
      <c r="C27" s="80"/>
      <c r="D27" s="80"/>
      <c r="E27" s="80"/>
      <c r="F27" s="80"/>
      <c r="G27" s="80"/>
      <c r="H27" s="80"/>
      <c r="I27" s="26"/>
      <c r="J27" s="32"/>
      <c r="K27" s="33"/>
      <c r="L27" s="35"/>
    </row>
    <row r="28" spans="1:12" ht="30" customHeight="1" x14ac:dyDescent="0.25">
      <c r="A28" s="23" t="s">
        <v>1</v>
      </c>
      <c r="B28" s="18"/>
      <c r="C28" s="81">
        <v>0.66666666666666663</v>
      </c>
      <c r="D28" s="81"/>
      <c r="E28" s="81"/>
      <c r="F28" s="81"/>
      <c r="G28" s="81">
        <v>0.66666666666666663</v>
      </c>
      <c r="H28" s="81"/>
      <c r="I28" s="19"/>
      <c r="J28" s="32"/>
      <c r="K28" s="33"/>
      <c r="L28" s="35"/>
    </row>
    <row r="29" spans="1:12" ht="30" customHeight="1" x14ac:dyDescent="0.25">
      <c r="A29" s="23" t="s">
        <v>2</v>
      </c>
      <c r="B29" s="24"/>
      <c r="C29" s="80" t="s">
        <v>16</v>
      </c>
      <c r="D29" s="80"/>
      <c r="E29" s="80"/>
      <c r="F29" s="80"/>
      <c r="G29" s="80" t="s">
        <v>16</v>
      </c>
      <c r="H29" s="80"/>
      <c r="I29" s="26"/>
      <c r="J29" s="32"/>
      <c r="K29" s="33"/>
      <c r="L29" s="35"/>
    </row>
    <row r="30" spans="1:12" ht="30" customHeight="1" x14ac:dyDescent="0.25">
      <c r="A30" s="23" t="s">
        <v>1</v>
      </c>
      <c r="B30" s="18"/>
      <c r="C30" s="81"/>
      <c r="D30" s="81"/>
      <c r="E30" s="81"/>
      <c r="F30" s="81"/>
      <c r="G30" s="81"/>
      <c r="H30" s="81"/>
      <c r="I30" s="19"/>
      <c r="J30" s="32"/>
      <c r="K30" s="33"/>
      <c r="L30" s="35"/>
    </row>
    <row r="31" spans="1:12" ht="30" customHeight="1" x14ac:dyDescent="0.25">
      <c r="A31" s="23" t="s">
        <v>2</v>
      </c>
      <c r="B31" s="29"/>
      <c r="C31" s="79"/>
      <c r="D31" s="79"/>
      <c r="E31" s="79"/>
      <c r="F31" s="79"/>
      <c r="G31" s="79"/>
      <c r="H31" s="79"/>
      <c r="I31" s="28"/>
      <c r="J31" s="32"/>
      <c r="K31" s="33"/>
      <c r="L31" s="12"/>
    </row>
  </sheetData>
  <mergeCells count="63">
    <mergeCell ref="C11:D11"/>
    <mergeCell ref="E11:F11"/>
    <mergeCell ref="G11:H11"/>
    <mergeCell ref="C12:D12"/>
    <mergeCell ref="E12:F12"/>
    <mergeCell ref="G12:H12"/>
    <mergeCell ref="C13:D13"/>
    <mergeCell ref="E13:F13"/>
    <mergeCell ref="G13:H13"/>
    <mergeCell ref="C16:D16"/>
    <mergeCell ref="E16:F16"/>
    <mergeCell ref="G16:H16"/>
    <mergeCell ref="C14:D14"/>
    <mergeCell ref="E14:F14"/>
    <mergeCell ref="G14:H14"/>
    <mergeCell ref="C15:D15"/>
    <mergeCell ref="E15:F15"/>
    <mergeCell ref="G15:H15"/>
    <mergeCell ref="C17:D17"/>
    <mergeCell ref="E17:F17"/>
    <mergeCell ref="G17:H17"/>
    <mergeCell ref="C18:D18"/>
    <mergeCell ref="E18:F18"/>
    <mergeCell ref="G18:H18"/>
    <mergeCell ref="C21:D21"/>
    <mergeCell ref="E21:F21"/>
    <mergeCell ref="G21:H21"/>
    <mergeCell ref="C19:D19"/>
    <mergeCell ref="E19:F19"/>
    <mergeCell ref="G19:H19"/>
    <mergeCell ref="C20:D20"/>
    <mergeCell ref="E20:F20"/>
    <mergeCell ref="G20:H20"/>
    <mergeCell ref="C22:D22"/>
    <mergeCell ref="E22:F22"/>
    <mergeCell ref="G22:H22"/>
    <mergeCell ref="C23:D23"/>
    <mergeCell ref="E23:F23"/>
    <mergeCell ref="G23:H23"/>
    <mergeCell ref="C24:D24"/>
    <mergeCell ref="E24:F24"/>
    <mergeCell ref="G24:H24"/>
    <mergeCell ref="C25:D25"/>
    <mergeCell ref="E25:F25"/>
    <mergeCell ref="G25:H25"/>
    <mergeCell ref="C28:D28"/>
    <mergeCell ref="E28:F28"/>
    <mergeCell ref="G28:H28"/>
    <mergeCell ref="C26:D26"/>
    <mergeCell ref="E26:F26"/>
    <mergeCell ref="G26:H26"/>
    <mergeCell ref="C27:D27"/>
    <mergeCell ref="E27:F27"/>
    <mergeCell ref="G27:H27"/>
    <mergeCell ref="C31:D31"/>
    <mergeCell ref="E31:F31"/>
    <mergeCell ref="G31:H31"/>
    <mergeCell ref="C29:D29"/>
    <mergeCell ref="E29:F29"/>
    <mergeCell ref="G29:H29"/>
    <mergeCell ref="C30:D30"/>
    <mergeCell ref="E30:F30"/>
    <mergeCell ref="G30:H30"/>
  </mergeCells>
  <conditionalFormatting sqref="C3:H3">
    <cfRule type="expression" dxfId="89" priority="9" stopIfTrue="1">
      <formula>DAY(C3)&gt;8</formula>
    </cfRule>
  </conditionalFormatting>
  <conditionalFormatting sqref="C7:I8">
    <cfRule type="expression" dxfId="88" priority="8" stopIfTrue="1">
      <formula>AND(DAY(C7)&gt;=1,DAY(C7)&lt;=15)</formula>
    </cfRule>
  </conditionalFormatting>
  <conditionalFormatting sqref="C3:I8">
    <cfRule type="expression" dxfId="87" priority="10">
      <formula>VLOOKUP(DAY(C3),DiasTarefa,1,FALSE)=DAY(C3)</formula>
    </cfRule>
  </conditionalFormatting>
  <conditionalFormatting sqref="B13:I13 B15:I15 B17:I17 B19:I19 B21:I21 B23:I23 B25:I25 B27:I27 B29:I29 B31:I31">
    <cfRule type="expression" dxfId="86" priority="7">
      <formula>B13&lt;&gt;""</formula>
    </cfRule>
  </conditionalFormatting>
  <conditionalFormatting sqref="B12:I12 B14:I14 B16:I16 B18:I18 B20:I20 B22:I22 B24:I24 B26:I26 B28:I28 B30:I30">
    <cfRule type="expression" dxfId="85" priority="6">
      <formula>B12&lt;&gt;""</formula>
    </cfRule>
  </conditionalFormatting>
  <conditionalFormatting sqref="B13:I13 B15:I15 B17:I17 B19:I19 B21:I21 B23:I23 B25:I25 B27:I27 B29:I29">
    <cfRule type="expression" dxfId="84" priority="4">
      <formula>COLUMN(B12)&gt;=2</formula>
    </cfRule>
  </conditionalFormatting>
  <conditionalFormatting sqref="B12:I31">
    <cfRule type="expression" dxfId="83" priority="1">
      <formula>COLUMN(B12)&gt;2</formula>
    </cfRule>
  </conditionalFormatting>
  <dataValidations xWindow="95" yWindow="532" count="13">
    <dataValidation allowBlank="1" showInputMessage="1" showErrorMessage="1" prompt="O calendário de fevereiro destaca automaticamente as entradas da lista de tarefas do mês. As fontes mais escuras são tarefas. As fontes mais claras são dias que pertencem ao mês anterior ou seguinte" sqref="B2" xr:uid="{00000000-0002-0000-0100-000000000000}"/>
    <dataValidation allowBlank="1" showInputMessage="1" showErrorMessage="1" prompt="O ano civil é atualizado automaticamente. Para alterar o ano, atualize a célula B1 na planilha de janeiro" sqref="B1" xr:uid="{00000000-0002-0000-0100-000001000000}"/>
    <dataValidation allowBlank="1" showInputMessage="1" showErrorMessage="1" prompt="Prepare um cronograma semanal e crie uma lista de tarefas nesta planilha. As tarefas são destacadas automaticamente no calendário mensal para o ano inserido em B1 na planilha de janeiro" sqref="A1" xr:uid="{00000000-0002-0000-0100-000002000000}"/>
    <dataValidation allowBlank="1" showInputMessage="1" showErrorMessage="1" prompt="Se esta célula não contiver o número 1, ela será um dia de um mês anterior. As células C3:I8 contêm datas do mês atual" sqref="C3" xr:uid="{00000000-0002-0000-0100-000003000000}"/>
    <dataValidation allowBlank="1" showInputMessage="1" showErrorMessage="1" prompt="Se esta linha contiver um número menor que o número ou a linha de números anterior, ela conterá datas para o próximo mês do calendário" sqref="C8" xr:uid="{00000000-0002-0000-0100-000004000000}"/>
    <dataValidation allowBlank="1" showInputMessage="1" showErrorMessage="1" prompt="Insira o horário nesta linha entre as colunas B e I" sqref="B12" xr:uid="{00000000-0002-0000-0100-000005000000}"/>
    <dataValidation allowBlank="1" showInputMessage="1" showErrorMessage="1" prompt="Insira a aula nesta linha entre as colunas B e I" sqref="B13" xr:uid="{00000000-0002-0000-0100-000006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100-000007000000}"/>
    <dataValidation allowBlank="1" showInputMessage="1" showErrorMessage="1" prompt="Insira os detalhes da tarefa nesta coluna, que corresponde ao dia da semana na coluna J e ao dia na coluna K para o mês do calendário à esquerda" sqref="L1" xr:uid="{00000000-0002-0000-0100-000008000000}"/>
    <dataValidation allowBlank="1" showInputMessage="1" showErrorMessage="1" prompt="Insira o dia do mês da tarefa nesta coluna, que corresponde ao dia da semana na coluna J. Essa data destacará a tarefa no calendário à esquerda" sqref="K1" xr:uid="{00000000-0002-0000-0100-000009000000}"/>
    <dataValidation allowBlank="1" showInputMessage="1" showErrorMessage="1" prompt="Os dias da semana estão nesta linha, de segunda a sexta" sqref="B11" xr:uid="{00000000-0002-0000-0100-00000A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100-00000B000000}"/>
    <dataValidation allowBlank="1" showInputMessage="1" showErrorMessage="1" prompt="As células C2:I2 contêm dias da semana" sqref="C2" xr:uid="{00000000-0002-0000-0100-00000C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L31"/>
  <sheetViews>
    <sheetView showGridLines="0" zoomScaleNormal="100" zoomScalePageLayoutView="84" workbookViewId="0"/>
  </sheetViews>
  <sheetFormatPr defaultColWidth="8.625" defaultRowHeight="30" customHeight="1" x14ac:dyDescent="0.2"/>
  <cols>
    <col min="1" max="1" width="2.625" style="1" customWidth="1"/>
    <col min="2" max="2" width="20.625" style="12" customWidth="1"/>
    <col min="3" max="8" width="10.625" style="1" customWidth="1"/>
    <col min="9" max="9" width="20.625" style="1" customWidth="1"/>
    <col min="10" max="10" width="10.625" style="12" customWidth="1"/>
    <col min="11" max="11" width="10.625" style="2" customWidth="1"/>
    <col min="12" max="12" width="70.625" style="1" customWidth="1"/>
    <col min="13" max="13" width="2.625" customWidth="1"/>
  </cols>
  <sheetData>
    <row r="1" spans="1:12" ht="30" customHeight="1" x14ac:dyDescent="0.2">
      <c r="A1" s="12"/>
      <c r="B1" s="9">
        <f ca="1">AnoCivil</f>
        <v>2019</v>
      </c>
      <c r="J1" s="15" t="s">
        <v>0</v>
      </c>
      <c r="K1" s="15" t="s">
        <v>23</v>
      </c>
      <c r="L1" s="8" t="s">
        <v>24</v>
      </c>
    </row>
    <row r="2" spans="1:12" ht="30" customHeight="1" x14ac:dyDescent="0.25">
      <c r="A2" s="10"/>
      <c r="B2" s="20" t="s">
        <v>28</v>
      </c>
      <c r="C2" s="5" t="s">
        <v>12</v>
      </c>
      <c r="D2" s="5" t="s">
        <v>5</v>
      </c>
      <c r="E2" s="5" t="s">
        <v>17</v>
      </c>
      <c r="F2" s="5" t="s">
        <v>18</v>
      </c>
      <c r="G2" s="5" t="s">
        <v>19</v>
      </c>
      <c r="H2" s="5" t="s">
        <v>21</v>
      </c>
      <c r="I2" s="5" t="s">
        <v>22</v>
      </c>
      <c r="J2" s="32" t="s">
        <v>5</v>
      </c>
      <c r="K2" s="33"/>
      <c r="L2" s="35"/>
    </row>
    <row r="3" spans="1:12" ht="30" customHeight="1" x14ac:dyDescent="0.25">
      <c r="A3" s="10"/>
      <c r="C3" s="4">
        <f ca="1">IF(DAY(MarDom1)=1,MarDom1-6,MarDom1+1)</f>
        <v>43520</v>
      </c>
      <c r="D3" s="4">
        <f ca="1">IF(DAY(MarDom1)=1,MarDom1-5,MarDom1+2)</f>
        <v>43521</v>
      </c>
      <c r="E3" s="4">
        <f ca="1">IF(DAY(MarDom1)=1,MarDom1-4,MarDom1+3)</f>
        <v>43522</v>
      </c>
      <c r="F3" s="4">
        <f ca="1">IF(DAY(MarDom1)=1,MarDom1-3,MarDom1+4)</f>
        <v>43523</v>
      </c>
      <c r="G3" s="4">
        <f ca="1">IF(DAY(MarDom1)=1,MarDom1-2,MarDom1+5)</f>
        <v>43524</v>
      </c>
      <c r="H3" s="4">
        <f ca="1">IF(DAY(MarDom1)=1,MarDom1-1,MarDom1+6)</f>
        <v>43525</v>
      </c>
      <c r="I3" s="4">
        <f ca="1">IF(DAY(MarDom1)=1,MarDom1,MarDom1+7)</f>
        <v>43526</v>
      </c>
      <c r="J3" s="32"/>
      <c r="K3" s="33"/>
      <c r="L3" s="35"/>
    </row>
    <row r="4" spans="1:12" ht="30" customHeight="1" x14ac:dyDescent="0.25">
      <c r="A4" s="10"/>
      <c r="C4" s="4">
        <f ca="1">IF(DAY(MarDom1)=1,MarDom1+1,MarDom1+8)</f>
        <v>43527</v>
      </c>
      <c r="D4" s="4">
        <f ca="1">IF(DAY(MarDom1)=1,MarDom1+2,MarDom1+9)</f>
        <v>43528</v>
      </c>
      <c r="E4" s="4">
        <f ca="1">IF(DAY(MarDom1)=1,MarDom1+3,MarDom1+10)</f>
        <v>43529</v>
      </c>
      <c r="F4" s="4">
        <f ca="1">IF(DAY(MarDom1)=1,MarDom1+4,MarDom1+11)</f>
        <v>43530</v>
      </c>
      <c r="G4" s="4">
        <f ca="1">IF(DAY(MarDom1)=1,MarDom1+5,MarDom1+12)</f>
        <v>43531</v>
      </c>
      <c r="H4" s="4">
        <f ca="1">IF(DAY(MarDom1)=1,MarDom1+6,MarDom1+13)</f>
        <v>43532</v>
      </c>
      <c r="I4" s="4">
        <f ca="1">IF(DAY(MarDom1)=1,MarDom1+7,MarDom1+14)</f>
        <v>43533</v>
      </c>
      <c r="J4" s="32"/>
      <c r="K4" s="33"/>
      <c r="L4" s="35"/>
    </row>
    <row r="5" spans="1:12" ht="30" customHeight="1" x14ac:dyDescent="0.25">
      <c r="A5" s="10"/>
      <c r="C5" s="4">
        <f ca="1">IF(DAY(MarDom1)=1,MarDom1+8,MarDom1+15)</f>
        <v>43534</v>
      </c>
      <c r="D5" s="4">
        <f ca="1">IF(DAY(MarDom1)=1,MarDom1+9,MarDom1+16)</f>
        <v>43535</v>
      </c>
      <c r="E5" s="4">
        <f ca="1">IF(DAY(MarDom1)=1,MarDom1+10,MarDom1+17)</f>
        <v>43536</v>
      </c>
      <c r="F5" s="4">
        <f ca="1">IF(DAY(MarDom1)=1,MarDom1+11,MarDom1+18)</f>
        <v>43537</v>
      </c>
      <c r="G5" s="4">
        <f ca="1">IF(DAY(MarDom1)=1,MarDom1+12,MarDom1+19)</f>
        <v>43538</v>
      </c>
      <c r="H5" s="4">
        <f ca="1">IF(DAY(MarDom1)=1,MarDom1+13,MarDom1+20)</f>
        <v>43539</v>
      </c>
      <c r="I5" s="4">
        <f ca="1">IF(DAY(MarDom1)=1,MarDom1+14,MarDom1+21)</f>
        <v>43540</v>
      </c>
      <c r="J5" s="32"/>
      <c r="K5" s="33"/>
      <c r="L5" s="35"/>
    </row>
    <row r="6" spans="1:12" ht="30" customHeight="1" x14ac:dyDescent="0.25">
      <c r="A6" s="10"/>
      <c r="C6" s="4">
        <f ca="1">IF(DAY(MarDom1)=1,MarDom1+15,MarDom1+22)</f>
        <v>43541</v>
      </c>
      <c r="D6" s="4">
        <f ca="1">IF(DAY(MarDom1)=1,MarDom1+16,MarDom1+23)</f>
        <v>43542</v>
      </c>
      <c r="E6" s="4">
        <f ca="1">IF(DAY(MarDom1)=1,MarDom1+17,MarDom1+24)</f>
        <v>43543</v>
      </c>
      <c r="F6" s="4">
        <f ca="1">IF(DAY(MarDom1)=1,MarDom1+18,MarDom1+25)</f>
        <v>43544</v>
      </c>
      <c r="G6" s="4">
        <f ca="1">IF(DAY(MarDom1)=1,MarDom1+19,MarDom1+26)</f>
        <v>43545</v>
      </c>
      <c r="H6" s="4">
        <f ca="1">IF(DAY(MarDom1)=1,MarDom1+20,MarDom1+27)</f>
        <v>43546</v>
      </c>
      <c r="I6" s="4">
        <f ca="1">IF(DAY(MarDom1)=1,MarDom1+21,MarDom1+28)</f>
        <v>43547</v>
      </c>
      <c r="J6" s="32"/>
      <c r="K6" s="33"/>
      <c r="L6" s="35"/>
    </row>
    <row r="7" spans="1:12" ht="30" customHeight="1" x14ac:dyDescent="0.25">
      <c r="A7" s="10"/>
      <c r="C7" s="4">
        <f ca="1">IF(DAY(MarDom1)=1,MarDom1+22,MarDom1+29)</f>
        <v>43548</v>
      </c>
      <c r="D7" s="4">
        <f ca="1">IF(DAY(MarDom1)=1,MarDom1+23,MarDom1+30)</f>
        <v>43549</v>
      </c>
      <c r="E7" s="4">
        <f ca="1">IF(DAY(MarDom1)=1,MarDom1+24,MarDom1+31)</f>
        <v>43550</v>
      </c>
      <c r="F7" s="4">
        <f ca="1">IF(DAY(MarDom1)=1,MarDom1+25,MarDom1+32)</f>
        <v>43551</v>
      </c>
      <c r="G7" s="4">
        <f ca="1">IF(DAY(MarDom1)=1,MarDom1+26,MarDom1+33)</f>
        <v>43552</v>
      </c>
      <c r="H7" s="4">
        <f ca="1">IF(DAY(MarDom1)=1,MarDom1+27,MarDom1+34)</f>
        <v>43553</v>
      </c>
      <c r="I7" s="4">
        <f ca="1">IF(DAY(MarDom1)=1,MarDom1+28,MarDom1+35)</f>
        <v>43554</v>
      </c>
      <c r="J7" s="16"/>
      <c r="K7" s="14"/>
      <c r="L7" s="36"/>
    </row>
    <row r="8" spans="1:12" ht="30" customHeight="1" x14ac:dyDescent="0.25">
      <c r="A8" s="10"/>
      <c r="B8" s="13"/>
      <c r="C8" s="4">
        <f ca="1">IF(DAY(MarDom1)=1,MarDom1+29,MarDom1+36)</f>
        <v>43555</v>
      </c>
      <c r="D8" s="4">
        <f ca="1">IF(DAY(MarDom1)=1,MarDom1+30,MarDom1+37)</f>
        <v>43556</v>
      </c>
      <c r="E8" s="4">
        <f ca="1">IF(DAY(MarDom1)=1,MarDom1+31,MarDom1+38)</f>
        <v>43557</v>
      </c>
      <c r="F8" s="4">
        <f ca="1">IF(DAY(MarDom1)=1,MarDom1+32,MarDom1+39)</f>
        <v>43558</v>
      </c>
      <c r="G8" s="4">
        <f ca="1">IF(DAY(MarDom1)=1,MarDom1+33,MarDom1+40)</f>
        <v>43559</v>
      </c>
      <c r="H8" s="4">
        <f ca="1">IF(DAY(MarDom1)=1,MarDom1+34,MarDom1+41)</f>
        <v>43560</v>
      </c>
      <c r="I8" s="4">
        <f ca="1">IF(DAY(MarDom1)=1,MarDom1+35,MarDom1+42)</f>
        <v>43561</v>
      </c>
      <c r="J8" s="32" t="s">
        <v>17</v>
      </c>
      <c r="K8" s="17"/>
      <c r="L8" s="35"/>
    </row>
    <row r="9" spans="1:12" ht="30" customHeight="1" x14ac:dyDescent="0.25">
      <c r="A9" s="10"/>
      <c r="C9" s="3"/>
      <c r="D9" s="3"/>
      <c r="E9" s="3"/>
      <c r="F9" s="3"/>
      <c r="G9" s="3"/>
      <c r="H9" s="3"/>
      <c r="I9" s="3"/>
      <c r="J9" s="32"/>
      <c r="K9" s="33"/>
      <c r="L9" s="35"/>
    </row>
    <row r="10" spans="1:12" ht="30" customHeight="1" x14ac:dyDescent="0.25">
      <c r="A10" s="10"/>
      <c r="B10" s="11" t="s">
        <v>4</v>
      </c>
      <c r="C10" s="6"/>
      <c r="D10" s="6"/>
      <c r="E10" s="6"/>
      <c r="F10" s="6"/>
      <c r="G10" s="6"/>
      <c r="H10" s="6"/>
      <c r="I10" s="6"/>
      <c r="J10" s="32"/>
      <c r="K10" s="33"/>
      <c r="L10" s="35"/>
    </row>
    <row r="11" spans="1:12" ht="30" customHeight="1" x14ac:dyDescent="0.25">
      <c r="A11" s="23" t="s">
        <v>0</v>
      </c>
      <c r="B11" s="22" t="s">
        <v>5</v>
      </c>
      <c r="C11" s="82" t="s">
        <v>13</v>
      </c>
      <c r="D11" s="83"/>
      <c r="E11" s="82" t="s">
        <v>18</v>
      </c>
      <c r="F11" s="83"/>
      <c r="G11" s="82" t="s">
        <v>20</v>
      </c>
      <c r="H11" s="83"/>
      <c r="I11" s="31" t="s">
        <v>21</v>
      </c>
      <c r="J11" s="32"/>
      <c r="K11" s="33"/>
      <c r="L11" s="35"/>
    </row>
    <row r="12" spans="1:12" ht="30" customHeight="1" x14ac:dyDescent="0.25">
      <c r="A12" s="23" t="s">
        <v>1</v>
      </c>
      <c r="B12" s="18" t="s">
        <v>6</v>
      </c>
      <c r="C12" s="84"/>
      <c r="D12" s="84"/>
      <c r="E12" s="84" t="s">
        <v>6</v>
      </c>
      <c r="F12" s="84"/>
      <c r="G12" s="84"/>
      <c r="H12" s="84"/>
      <c r="I12" s="19" t="s">
        <v>6</v>
      </c>
      <c r="J12" s="32"/>
      <c r="K12" s="33"/>
      <c r="L12" s="35"/>
    </row>
    <row r="13" spans="1:12" ht="30" customHeight="1" x14ac:dyDescent="0.25">
      <c r="A13" s="23" t="s">
        <v>2</v>
      </c>
      <c r="B13" s="24" t="s">
        <v>7</v>
      </c>
      <c r="C13" s="80"/>
      <c r="D13" s="80"/>
      <c r="E13" s="80" t="s">
        <v>7</v>
      </c>
      <c r="F13" s="80"/>
      <c r="G13" s="80"/>
      <c r="H13" s="80"/>
      <c r="I13" s="26" t="s">
        <v>7</v>
      </c>
      <c r="J13" s="16"/>
      <c r="K13" s="14"/>
      <c r="L13" s="36"/>
    </row>
    <row r="14" spans="1:12" ht="30" customHeight="1" x14ac:dyDescent="0.25">
      <c r="A14" s="23" t="s">
        <v>1</v>
      </c>
      <c r="B14" s="18"/>
      <c r="C14" s="84" t="s">
        <v>14</v>
      </c>
      <c r="D14" s="84"/>
      <c r="E14" s="84"/>
      <c r="F14" s="84"/>
      <c r="G14" s="84" t="s">
        <v>14</v>
      </c>
      <c r="H14" s="84"/>
      <c r="I14" s="19"/>
      <c r="J14" s="32" t="s">
        <v>18</v>
      </c>
      <c r="K14" s="17"/>
      <c r="L14" s="35"/>
    </row>
    <row r="15" spans="1:12" ht="30" customHeight="1" x14ac:dyDescent="0.25">
      <c r="A15" s="23" t="s">
        <v>2</v>
      </c>
      <c r="B15" s="24"/>
      <c r="C15" s="80" t="s">
        <v>15</v>
      </c>
      <c r="D15" s="80"/>
      <c r="E15" s="80"/>
      <c r="F15" s="80"/>
      <c r="G15" s="80" t="s">
        <v>15</v>
      </c>
      <c r="H15" s="80"/>
      <c r="I15" s="26"/>
      <c r="J15" s="32"/>
      <c r="K15" s="33"/>
      <c r="L15" s="35"/>
    </row>
    <row r="16" spans="1:12" ht="30" customHeight="1" x14ac:dyDescent="0.25">
      <c r="A16" s="23" t="s">
        <v>1</v>
      </c>
      <c r="B16" s="18" t="s">
        <v>8</v>
      </c>
      <c r="C16" s="84"/>
      <c r="D16" s="84"/>
      <c r="E16" s="84" t="s">
        <v>8</v>
      </c>
      <c r="F16" s="84"/>
      <c r="G16" s="84"/>
      <c r="H16" s="84"/>
      <c r="I16" s="21" t="s">
        <v>8</v>
      </c>
      <c r="J16" s="32"/>
      <c r="K16" s="33"/>
      <c r="L16" s="35"/>
    </row>
    <row r="17" spans="1:12" ht="30" customHeight="1" x14ac:dyDescent="0.25">
      <c r="A17" s="23" t="s">
        <v>2</v>
      </c>
      <c r="B17" s="24" t="s">
        <v>9</v>
      </c>
      <c r="C17" s="80"/>
      <c r="D17" s="80"/>
      <c r="E17" s="80" t="s">
        <v>9</v>
      </c>
      <c r="F17" s="80"/>
      <c r="G17" s="80"/>
      <c r="H17" s="80"/>
      <c r="I17" s="26" t="s">
        <v>9</v>
      </c>
      <c r="J17" s="32"/>
      <c r="K17" s="33"/>
      <c r="L17" s="35"/>
    </row>
    <row r="18" spans="1:12" ht="30" customHeight="1" x14ac:dyDescent="0.25">
      <c r="A18" s="23" t="s">
        <v>1</v>
      </c>
      <c r="B18" s="18"/>
      <c r="C18" s="84"/>
      <c r="D18" s="84"/>
      <c r="E18" s="84"/>
      <c r="F18" s="84"/>
      <c r="G18" s="84"/>
      <c r="H18" s="84"/>
      <c r="I18" s="19"/>
      <c r="J18" s="32"/>
      <c r="K18" s="33"/>
      <c r="L18" s="35"/>
    </row>
    <row r="19" spans="1:12" ht="30" customHeight="1" x14ac:dyDescent="0.25">
      <c r="A19" s="23" t="s">
        <v>2</v>
      </c>
      <c r="B19" s="24"/>
      <c r="C19" s="80"/>
      <c r="D19" s="80"/>
      <c r="E19" s="80"/>
      <c r="F19" s="80"/>
      <c r="G19" s="80"/>
      <c r="H19" s="80"/>
      <c r="I19" s="39"/>
      <c r="J19" s="16"/>
      <c r="K19" s="14"/>
      <c r="L19" s="37"/>
    </row>
    <row r="20" spans="1:12" ht="30" customHeight="1" x14ac:dyDescent="0.25">
      <c r="A20" s="23" t="s">
        <v>1</v>
      </c>
      <c r="B20" s="18"/>
      <c r="C20" s="84"/>
      <c r="D20" s="84"/>
      <c r="E20" s="84"/>
      <c r="F20" s="84"/>
      <c r="G20" s="84"/>
      <c r="H20" s="84"/>
      <c r="I20" s="19"/>
      <c r="J20" s="32" t="s">
        <v>19</v>
      </c>
      <c r="K20" s="17"/>
      <c r="L20" s="35"/>
    </row>
    <row r="21" spans="1:12" ht="30" customHeight="1" x14ac:dyDescent="0.25">
      <c r="A21" s="23" t="s">
        <v>2</v>
      </c>
      <c r="B21" s="24"/>
      <c r="C21" s="80"/>
      <c r="D21" s="80"/>
      <c r="E21" s="80"/>
      <c r="F21" s="80"/>
      <c r="G21" s="80"/>
      <c r="H21" s="80"/>
      <c r="I21" s="26"/>
      <c r="J21" s="32"/>
      <c r="K21" s="33"/>
      <c r="L21" s="35"/>
    </row>
    <row r="22" spans="1:12" ht="30" customHeight="1" x14ac:dyDescent="0.25">
      <c r="A22" s="23" t="s">
        <v>1</v>
      </c>
      <c r="B22" s="18"/>
      <c r="C22" s="84"/>
      <c r="D22" s="84"/>
      <c r="E22" s="84"/>
      <c r="F22" s="84"/>
      <c r="G22" s="84"/>
      <c r="H22" s="84"/>
      <c r="I22" s="19"/>
      <c r="J22" s="32"/>
      <c r="K22" s="33"/>
      <c r="L22" s="35"/>
    </row>
    <row r="23" spans="1:12" ht="30" customHeight="1" x14ac:dyDescent="0.25">
      <c r="A23" s="23" t="s">
        <v>2</v>
      </c>
      <c r="B23" s="24"/>
      <c r="C23" s="80"/>
      <c r="D23" s="80"/>
      <c r="E23" s="80"/>
      <c r="F23" s="80"/>
      <c r="G23" s="80"/>
      <c r="H23" s="80"/>
      <c r="I23" s="26"/>
      <c r="J23" s="32"/>
      <c r="K23" s="33"/>
      <c r="L23" s="35"/>
    </row>
    <row r="24" spans="1:12" ht="30" customHeight="1" x14ac:dyDescent="0.25">
      <c r="A24" s="23" t="s">
        <v>1</v>
      </c>
      <c r="B24" s="18">
        <v>0.58333333333333337</v>
      </c>
      <c r="C24" s="84"/>
      <c r="D24" s="84"/>
      <c r="E24" s="84">
        <v>0.58333333333333337</v>
      </c>
      <c r="F24" s="84"/>
      <c r="G24" s="84"/>
      <c r="H24" s="84"/>
      <c r="I24" s="19">
        <v>0.58333333333333337</v>
      </c>
      <c r="J24" s="32"/>
      <c r="K24" s="33"/>
      <c r="L24" s="35"/>
    </row>
    <row r="25" spans="1:12" ht="30" customHeight="1" x14ac:dyDescent="0.25">
      <c r="A25" s="23" t="s">
        <v>2</v>
      </c>
      <c r="B25" s="24" t="s">
        <v>10</v>
      </c>
      <c r="C25" s="80"/>
      <c r="D25" s="80"/>
      <c r="E25" s="80" t="s">
        <v>10</v>
      </c>
      <c r="F25" s="80"/>
      <c r="G25" s="80"/>
      <c r="H25" s="80"/>
      <c r="I25" s="26" t="s">
        <v>10</v>
      </c>
      <c r="J25" s="16"/>
      <c r="K25" s="14"/>
      <c r="L25" s="37"/>
    </row>
    <row r="26" spans="1:12" ht="30" customHeight="1" x14ac:dyDescent="0.25">
      <c r="A26" s="23" t="s">
        <v>1</v>
      </c>
      <c r="B26" s="18"/>
      <c r="C26" s="84"/>
      <c r="D26" s="84"/>
      <c r="E26" s="84"/>
      <c r="F26" s="84"/>
      <c r="G26" s="84"/>
      <c r="H26" s="84"/>
      <c r="I26" s="19"/>
      <c r="J26" s="32" t="s">
        <v>21</v>
      </c>
      <c r="K26" s="17"/>
      <c r="L26" s="35"/>
    </row>
    <row r="27" spans="1:12" ht="30" customHeight="1" x14ac:dyDescent="0.25">
      <c r="A27" s="23" t="s">
        <v>2</v>
      </c>
      <c r="B27" s="24"/>
      <c r="C27" s="80"/>
      <c r="D27" s="80"/>
      <c r="E27" s="80"/>
      <c r="F27" s="80"/>
      <c r="G27" s="80"/>
      <c r="H27" s="80"/>
      <c r="I27" s="26"/>
      <c r="J27" s="32"/>
      <c r="K27" s="33"/>
      <c r="L27" s="35"/>
    </row>
    <row r="28" spans="1:12" ht="30" customHeight="1" x14ac:dyDescent="0.25">
      <c r="A28" s="23" t="s">
        <v>1</v>
      </c>
      <c r="B28" s="18"/>
      <c r="C28" s="84">
        <v>0.66666666666666663</v>
      </c>
      <c r="D28" s="84"/>
      <c r="E28" s="84"/>
      <c r="F28" s="84"/>
      <c r="G28" s="84">
        <v>0.66666666666666663</v>
      </c>
      <c r="H28" s="84"/>
      <c r="I28" s="19"/>
      <c r="J28" s="32"/>
      <c r="K28" s="33"/>
      <c r="L28" s="35"/>
    </row>
    <row r="29" spans="1:12" ht="30" customHeight="1" x14ac:dyDescent="0.25">
      <c r="A29" s="23" t="s">
        <v>2</v>
      </c>
      <c r="B29" s="24"/>
      <c r="C29" s="80" t="s">
        <v>16</v>
      </c>
      <c r="D29" s="80"/>
      <c r="E29" s="80"/>
      <c r="F29" s="80"/>
      <c r="G29" s="80" t="s">
        <v>16</v>
      </c>
      <c r="H29" s="80"/>
      <c r="I29" s="26"/>
      <c r="J29" s="32"/>
      <c r="K29" s="33"/>
      <c r="L29" s="35"/>
    </row>
    <row r="30" spans="1:12" ht="30" customHeight="1" x14ac:dyDescent="0.25">
      <c r="A30" s="23" t="s">
        <v>1</v>
      </c>
      <c r="B30" s="18"/>
      <c r="C30" s="84"/>
      <c r="D30" s="84"/>
      <c r="E30" s="84"/>
      <c r="F30" s="84"/>
      <c r="G30" s="84"/>
      <c r="H30" s="84"/>
      <c r="I30" s="19"/>
      <c r="J30" s="32"/>
      <c r="K30" s="33"/>
      <c r="L30" s="35"/>
    </row>
    <row r="31" spans="1:12" ht="30" customHeight="1" x14ac:dyDescent="0.25">
      <c r="A31" s="23" t="s">
        <v>2</v>
      </c>
      <c r="B31" s="25"/>
      <c r="C31" s="85"/>
      <c r="D31" s="85"/>
      <c r="E31" s="85"/>
      <c r="F31" s="85"/>
      <c r="G31" s="85"/>
      <c r="H31" s="85"/>
      <c r="I31" s="28"/>
      <c r="J31" s="32"/>
      <c r="K31" s="33"/>
      <c r="L31" s="12"/>
    </row>
  </sheetData>
  <mergeCells count="63">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s>
  <conditionalFormatting sqref="C3:H3">
    <cfRule type="expression" dxfId="81" priority="6" stopIfTrue="1">
      <formula>DAY(C3)&gt;8</formula>
    </cfRule>
  </conditionalFormatting>
  <conditionalFormatting sqref="C7:I8">
    <cfRule type="expression" dxfId="80" priority="5" stopIfTrue="1">
      <formula>AND(DAY(C7)&gt;=1,DAY(C7)&lt;=15)</formula>
    </cfRule>
  </conditionalFormatting>
  <conditionalFormatting sqref="C3:I8">
    <cfRule type="expression" dxfId="79" priority="7">
      <formula>VLOOKUP(DAY(C3),DiasTarefa,1,FALSE)=DAY(C3)</formula>
    </cfRule>
  </conditionalFormatting>
  <conditionalFormatting sqref="B13:I13 B15:I15 B17:I17 B19:I19 B21:I21 B23:I23 B25:I25 B27:I27 B29:I29 B31:I31">
    <cfRule type="expression" dxfId="78" priority="4">
      <formula>B13&lt;&gt;""</formula>
    </cfRule>
  </conditionalFormatting>
  <conditionalFormatting sqref="B12:I12 B14:I14 B16:I16 B18:I18 B20:I20 B22:I22 B24:I24 B26:I26 B28:I28 B30:I30">
    <cfRule type="expression" dxfId="77" priority="3">
      <formula>B12&lt;&gt;""</formula>
    </cfRule>
  </conditionalFormatting>
  <conditionalFormatting sqref="B13:I13 B15:I15 B17:I17 B19:I19 B21:I21 B23:I23 B25:I25 B27:I27 B29:I29">
    <cfRule type="expression" dxfId="76" priority="2">
      <formula>COLUMN(B12)&gt;=2</formula>
    </cfRule>
  </conditionalFormatting>
  <conditionalFormatting sqref="B12:I31">
    <cfRule type="expression" dxfId="75" priority="1">
      <formula>COLUMN(B12)&gt;2</formula>
    </cfRule>
  </conditionalFormatting>
  <dataValidations count="13">
    <dataValidation allowBlank="1" showInputMessage="1" showErrorMessage="1" prompt="Insira a aula nesta linha entre as colunas B e I" sqref="B13" xr:uid="{00000000-0002-0000-0200-000000000000}"/>
    <dataValidation allowBlank="1" showInputMessage="1" showErrorMessage="1" prompt="Insira o horário nesta linha entre as colunas B e I" sqref="B12" xr:uid="{00000000-0002-0000-0200-000001000000}"/>
    <dataValidation allowBlank="1" showInputMessage="1" showErrorMessage="1" prompt="Se esta linha contiver um número menor que o número ou a linha de números anterior, ela conterá datas para o próximo mês do calendário" sqref="C8" xr:uid="{00000000-0002-0000-0200-000002000000}"/>
    <dataValidation allowBlank="1" showInputMessage="1" showErrorMessage="1" prompt="Se esta célula não contiver o número 1, ela será um dia de um mês anterior. As células C3:I8 contêm datas do mês atual" sqref="C3" xr:uid="{00000000-0002-0000-0200-000003000000}"/>
    <dataValidation allowBlank="1" showInputMessage="1" showErrorMessage="1" prompt="Prepare um cronograma semanal e crie uma lista de tarefas nesta planilha. As tarefas são destacadas automaticamente no calendário mensal para o ano inserido em B1 na planilha de janeiro" sqref="A1" xr:uid="{00000000-0002-0000-0200-000004000000}"/>
    <dataValidation allowBlank="1" showInputMessage="1" showErrorMessage="1" prompt="O ano civil é atualizado automaticamente. Para alterar o ano, atualize a célula B1 na planilha de janeiro" sqref="B1" xr:uid="{00000000-0002-0000-0200-000005000000}"/>
    <dataValidation allowBlank="1" showInputMessage="1" showErrorMessage="1" prompt="O calendário de março destaca automaticamente as entradas da lista de tarefas do mês. As fontes mais escuras são tarefas. As fontes mais claras são dias que pertencem ao mês anterior ou seguinte" sqref="B2" xr:uid="{00000000-0002-0000-0200-000006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200-000007000000}"/>
    <dataValidation allowBlank="1" showInputMessage="1" showErrorMessage="1" prompt="Insira os detalhes da tarefa nesta coluna, que corresponde ao dia da semana na coluna J e ao dia na coluna K para o mês do calendário à esquerda" sqref="L1" xr:uid="{00000000-0002-0000-0200-000008000000}"/>
    <dataValidation allowBlank="1" showInputMessage="1" showErrorMessage="1" prompt="Insira o dia do mês da tarefa nesta coluna, que corresponde ao dia da semana na coluna J. Essa data destacará a tarefa no calendário à esquerda" sqref="K1" xr:uid="{00000000-0002-0000-0200-000009000000}"/>
    <dataValidation allowBlank="1" showInputMessage="1" showErrorMessage="1" prompt="Os dias da semana estão nesta linha, de segunda a sexta" sqref="B11" xr:uid="{00000000-0002-0000-0200-00000A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200-00000B000000}"/>
    <dataValidation allowBlank="1" showInputMessage="1" showErrorMessage="1" prompt="As células C2:I2 contêm dias da semana" sqref="C2" xr:uid="{00000000-0002-0000-0200-00000C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L31"/>
  <sheetViews>
    <sheetView showGridLines="0" zoomScaleNormal="100" zoomScalePageLayoutView="84" workbookViewId="0"/>
  </sheetViews>
  <sheetFormatPr defaultColWidth="8.625" defaultRowHeight="30" customHeight="1" x14ac:dyDescent="0.25"/>
  <cols>
    <col min="1" max="1" width="2.625" style="1" customWidth="1"/>
    <col min="2" max="2" width="20.625" style="12" customWidth="1"/>
    <col min="3" max="8" width="10.625" style="1" customWidth="1"/>
    <col min="9" max="9" width="20.625" style="1" customWidth="1"/>
    <col min="10" max="10" width="10.625" style="7" customWidth="1"/>
    <col min="11" max="11" width="10.625" style="2" customWidth="1"/>
    <col min="12" max="12" width="70.625" style="1" customWidth="1"/>
    <col min="13" max="13" width="2.625" customWidth="1"/>
  </cols>
  <sheetData>
    <row r="1" spans="1:12" ht="30" customHeight="1" x14ac:dyDescent="0.2">
      <c r="A1" s="12"/>
      <c r="B1" s="9">
        <f ca="1">AnoCivil</f>
        <v>2019</v>
      </c>
      <c r="J1" s="15" t="s">
        <v>0</v>
      </c>
      <c r="K1" s="15" t="s">
        <v>23</v>
      </c>
      <c r="L1" s="8" t="s">
        <v>24</v>
      </c>
    </row>
    <row r="2" spans="1:12" ht="30" customHeight="1" x14ac:dyDescent="0.25">
      <c r="A2" s="10"/>
      <c r="B2" s="20" t="s">
        <v>29</v>
      </c>
      <c r="C2" s="5" t="s">
        <v>12</v>
      </c>
      <c r="D2" s="5" t="s">
        <v>5</v>
      </c>
      <c r="E2" s="5" t="s">
        <v>17</v>
      </c>
      <c r="F2" s="5" t="s">
        <v>18</v>
      </c>
      <c r="G2" s="5" t="s">
        <v>19</v>
      </c>
      <c r="H2" s="5" t="s">
        <v>21</v>
      </c>
      <c r="I2" s="5" t="s">
        <v>22</v>
      </c>
      <c r="J2" s="32" t="s">
        <v>5</v>
      </c>
      <c r="K2" s="33"/>
      <c r="L2" s="35"/>
    </row>
    <row r="3" spans="1:12" ht="30" customHeight="1" x14ac:dyDescent="0.25">
      <c r="A3" s="10"/>
      <c r="C3" s="4">
        <f ca="1">IF(DAY(AbrDom1)=1,AbrDom1-6,AbrDom1+1)</f>
        <v>43555</v>
      </c>
      <c r="D3" s="4">
        <f ca="1">IF(DAY(AbrDom1)=1,AbrDom1-5,AbrDom1+2)</f>
        <v>43556</v>
      </c>
      <c r="E3" s="4">
        <f ca="1">IF(DAY(AbrDom1)=1,AbrDom1-4,AbrDom1+3)</f>
        <v>43557</v>
      </c>
      <c r="F3" s="4">
        <f ca="1">IF(DAY(AbrDom1)=1,AbrDom1-3,AbrDom1+4)</f>
        <v>43558</v>
      </c>
      <c r="G3" s="4">
        <f ca="1">IF(DAY(AbrDom1)=1,AbrDom1-2,AbrDom1+5)</f>
        <v>43559</v>
      </c>
      <c r="H3" s="4">
        <f ca="1">IF(DAY(AbrDom1)=1,AbrDom1-1,AbrDom1+6)</f>
        <v>43560</v>
      </c>
      <c r="I3" s="4">
        <f ca="1">IF(DAY(AbrDom1)=1,AbrDom1,AbrDom1+7)</f>
        <v>43561</v>
      </c>
      <c r="J3" s="32"/>
      <c r="K3" s="33"/>
      <c r="L3" s="35"/>
    </row>
    <row r="4" spans="1:12" ht="30" customHeight="1" x14ac:dyDescent="0.25">
      <c r="A4" s="10"/>
      <c r="C4" s="4">
        <f ca="1">IF(DAY(AbrDom1)=1,AbrDom1+1,AbrDom1+8)</f>
        <v>43562</v>
      </c>
      <c r="D4" s="4">
        <f ca="1">IF(DAY(AbrDom1)=1,AbrDom1+2,AbrDom1+9)</f>
        <v>43563</v>
      </c>
      <c r="E4" s="4">
        <f ca="1">IF(DAY(AbrDom1)=1,AbrDom1+3,AbrDom1+10)</f>
        <v>43564</v>
      </c>
      <c r="F4" s="4">
        <f ca="1">IF(DAY(AbrDom1)=1,AbrDom1+4,AbrDom1+11)</f>
        <v>43565</v>
      </c>
      <c r="G4" s="4">
        <f ca="1">IF(DAY(AbrDom1)=1,AbrDom1+5,AbrDom1+12)</f>
        <v>43566</v>
      </c>
      <c r="H4" s="4">
        <f ca="1">IF(DAY(AbrDom1)=1,AbrDom1+6,AbrDom1+13)</f>
        <v>43567</v>
      </c>
      <c r="I4" s="4">
        <f ca="1">IF(DAY(AbrDom1)=1,AbrDom1+7,AbrDom1+14)</f>
        <v>43568</v>
      </c>
      <c r="J4" s="32"/>
      <c r="K4" s="33"/>
      <c r="L4" s="35"/>
    </row>
    <row r="5" spans="1:12" ht="30" customHeight="1" x14ac:dyDescent="0.25">
      <c r="A5" s="10"/>
      <c r="C5" s="4">
        <f ca="1">IF(DAY(AbrDom1)=1,AbrDom1+8,AbrDom1+15)</f>
        <v>43569</v>
      </c>
      <c r="D5" s="4">
        <f ca="1">IF(DAY(AbrDom1)=1,AbrDom1+9,AbrDom1+16)</f>
        <v>43570</v>
      </c>
      <c r="E5" s="4">
        <f ca="1">IF(DAY(AbrDom1)=1,AbrDom1+10,AbrDom1+17)</f>
        <v>43571</v>
      </c>
      <c r="F5" s="4">
        <f ca="1">IF(DAY(AbrDom1)=1,AbrDom1+11,AbrDom1+18)</f>
        <v>43572</v>
      </c>
      <c r="G5" s="4">
        <f ca="1">IF(DAY(AbrDom1)=1,AbrDom1+12,AbrDom1+19)</f>
        <v>43573</v>
      </c>
      <c r="H5" s="4">
        <f ca="1">IF(DAY(AbrDom1)=1,AbrDom1+13,AbrDom1+20)</f>
        <v>43574</v>
      </c>
      <c r="I5" s="4">
        <f ca="1">IF(DAY(AbrDom1)=1,AbrDom1+14,AbrDom1+21)</f>
        <v>43575</v>
      </c>
      <c r="J5" s="32"/>
      <c r="K5" s="33"/>
      <c r="L5" s="35"/>
    </row>
    <row r="6" spans="1:12" ht="30" customHeight="1" x14ac:dyDescent="0.25">
      <c r="A6" s="10"/>
      <c r="C6" s="4">
        <f ca="1">IF(DAY(AbrDom1)=1,AbrDom1+15,AbrDom1+22)</f>
        <v>43576</v>
      </c>
      <c r="D6" s="4">
        <f ca="1">IF(DAY(AbrDom1)=1,AbrDom1+16,AbrDom1+23)</f>
        <v>43577</v>
      </c>
      <c r="E6" s="4">
        <f ca="1">IF(DAY(AbrDom1)=1,AbrDom1+17,AbrDom1+24)</f>
        <v>43578</v>
      </c>
      <c r="F6" s="4">
        <f ca="1">IF(DAY(AbrDom1)=1,AbrDom1+18,AbrDom1+25)</f>
        <v>43579</v>
      </c>
      <c r="G6" s="4">
        <f ca="1">IF(DAY(AbrDom1)=1,AbrDom1+19,AbrDom1+26)</f>
        <v>43580</v>
      </c>
      <c r="H6" s="4">
        <f ca="1">IF(DAY(AbrDom1)=1,AbrDom1+20,AbrDom1+27)</f>
        <v>43581</v>
      </c>
      <c r="I6" s="4">
        <f ca="1">IF(DAY(AbrDom1)=1,AbrDom1+21,AbrDom1+28)</f>
        <v>43582</v>
      </c>
      <c r="J6" s="32"/>
      <c r="K6" s="33"/>
      <c r="L6" s="35"/>
    </row>
    <row r="7" spans="1:12" ht="30" customHeight="1" x14ac:dyDescent="0.25">
      <c r="A7" s="10"/>
      <c r="C7" s="4">
        <f ca="1">IF(DAY(AbrDom1)=1,AbrDom1+22,AbrDom1+29)</f>
        <v>43583</v>
      </c>
      <c r="D7" s="4">
        <f ca="1">IF(DAY(AbrDom1)=1,AbrDom1+23,AbrDom1+30)</f>
        <v>43584</v>
      </c>
      <c r="E7" s="4">
        <f ca="1">IF(DAY(AbrDom1)=1,AbrDom1+24,AbrDom1+31)</f>
        <v>43585</v>
      </c>
      <c r="F7" s="4">
        <f ca="1">IF(DAY(AbrDom1)=1,AbrDom1+25,AbrDom1+32)</f>
        <v>43586</v>
      </c>
      <c r="G7" s="4">
        <f ca="1">IF(DAY(AbrDom1)=1,AbrDom1+26,AbrDom1+33)</f>
        <v>43587</v>
      </c>
      <c r="H7" s="4">
        <f ca="1">IF(DAY(AbrDom1)=1,AbrDom1+27,AbrDom1+34)</f>
        <v>43588</v>
      </c>
      <c r="I7" s="4">
        <f ca="1">IF(DAY(AbrDom1)=1,AbrDom1+28,AbrDom1+35)</f>
        <v>43589</v>
      </c>
      <c r="J7" s="16"/>
      <c r="K7" s="14"/>
      <c r="L7" s="36"/>
    </row>
    <row r="8" spans="1:12" ht="30" customHeight="1" x14ac:dyDescent="0.25">
      <c r="A8" s="10"/>
      <c r="B8" s="13"/>
      <c r="C8" s="4">
        <f ca="1">IF(DAY(AbrDom1)=1,AbrDom1+29,AbrDom1+36)</f>
        <v>43590</v>
      </c>
      <c r="D8" s="4">
        <f ca="1">IF(DAY(AbrDom1)=1,AbrDom1+30,AbrDom1+37)</f>
        <v>43591</v>
      </c>
      <c r="E8" s="4">
        <f ca="1">IF(DAY(AbrDom1)=1,AbrDom1+31,AbrDom1+38)</f>
        <v>43592</v>
      </c>
      <c r="F8" s="4">
        <f ca="1">IF(DAY(AbrDom1)=1,AbrDom1+32,AbrDom1+39)</f>
        <v>43593</v>
      </c>
      <c r="G8" s="4">
        <f ca="1">IF(DAY(AbrDom1)=1,AbrDom1+33,AbrDom1+40)</f>
        <v>43594</v>
      </c>
      <c r="H8" s="4">
        <f ca="1">IF(DAY(AbrDom1)=1,AbrDom1+34,AbrDom1+41)</f>
        <v>43595</v>
      </c>
      <c r="I8" s="4">
        <f ca="1">IF(DAY(AbrDom1)=1,AbrDom1+35,AbrDom1+42)</f>
        <v>43596</v>
      </c>
      <c r="J8" s="32" t="s">
        <v>17</v>
      </c>
      <c r="K8" s="17"/>
      <c r="L8" s="35"/>
    </row>
    <row r="9" spans="1:12" ht="30" customHeight="1" x14ac:dyDescent="0.25">
      <c r="A9" s="10"/>
      <c r="C9" s="3"/>
      <c r="D9" s="3"/>
      <c r="E9" s="3"/>
      <c r="F9" s="3"/>
      <c r="G9" s="3"/>
      <c r="H9" s="3"/>
      <c r="I9" s="3"/>
      <c r="J9" s="32"/>
      <c r="K9" s="33"/>
      <c r="L9" s="35"/>
    </row>
    <row r="10" spans="1:12" ht="30" customHeight="1" x14ac:dyDescent="0.25">
      <c r="A10" s="10"/>
      <c r="B10" s="11" t="s">
        <v>4</v>
      </c>
      <c r="C10" s="6"/>
      <c r="D10" s="6"/>
      <c r="E10" s="6"/>
      <c r="F10" s="6"/>
      <c r="G10" s="6"/>
      <c r="H10" s="6"/>
      <c r="I10" s="6"/>
      <c r="J10" s="32"/>
      <c r="K10" s="33"/>
      <c r="L10" s="35"/>
    </row>
    <row r="11" spans="1:12" ht="30" customHeight="1" x14ac:dyDescent="0.25">
      <c r="A11" s="23" t="s">
        <v>0</v>
      </c>
      <c r="B11" s="22" t="s">
        <v>5</v>
      </c>
      <c r="C11" s="82" t="s">
        <v>13</v>
      </c>
      <c r="D11" s="83"/>
      <c r="E11" s="82" t="s">
        <v>18</v>
      </c>
      <c r="F11" s="83"/>
      <c r="G11" s="82" t="s">
        <v>20</v>
      </c>
      <c r="H11" s="83"/>
      <c r="I11" s="31" t="s">
        <v>21</v>
      </c>
      <c r="J11" s="32"/>
      <c r="K11" s="33"/>
      <c r="L11" s="35"/>
    </row>
    <row r="12" spans="1:12" ht="30" customHeight="1" x14ac:dyDescent="0.25">
      <c r="A12" s="23" t="s">
        <v>1</v>
      </c>
      <c r="B12" s="18" t="s">
        <v>6</v>
      </c>
      <c r="C12" s="84"/>
      <c r="D12" s="84"/>
      <c r="E12" s="84" t="s">
        <v>6</v>
      </c>
      <c r="F12" s="84"/>
      <c r="G12" s="84"/>
      <c r="H12" s="84"/>
      <c r="I12" s="19" t="s">
        <v>6</v>
      </c>
      <c r="J12" s="32"/>
      <c r="K12" s="33"/>
      <c r="L12" s="35"/>
    </row>
    <row r="13" spans="1:12" ht="30" customHeight="1" x14ac:dyDescent="0.25">
      <c r="A13" s="23" t="s">
        <v>2</v>
      </c>
      <c r="B13" s="24" t="s">
        <v>7</v>
      </c>
      <c r="C13" s="80"/>
      <c r="D13" s="80"/>
      <c r="E13" s="80" t="s">
        <v>7</v>
      </c>
      <c r="F13" s="80"/>
      <c r="G13" s="80"/>
      <c r="H13" s="80"/>
      <c r="I13" s="26" t="s">
        <v>7</v>
      </c>
      <c r="J13" s="16"/>
      <c r="K13" s="14"/>
      <c r="L13" s="36"/>
    </row>
    <row r="14" spans="1:12" ht="30" customHeight="1" x14ac:dyDescent="0.25">
      <c r="A14" s="23" t="s">
        <v>1</v>
      </c>
      <c r="B14" s="18"/>
      <c r="C14" s="84" t="s">
        <v>14</v>
      </c>
      <c r="D14" s="84"/>
      <c r="E14" s="84"/>
      <c r="F14" s="84"/>
      <c r="G14" s="84" t="s">
        <v>14</v>
      </c>
      <c r="H14" s="84"/>
      <c r="I14" s="19"/>
      <c r="J14" s="32" t="s">
        <v>18</v>
      </c>
      <c r="K14" s="17"/>
      <c r="L14" s="35"/>
    </row>
    <row r="15" spans="1:12" ht="30" customHeight="1" x14ac:dyDescent="0.25">
      <c r="A15" s="23" t="s">
        <v>2</v>
      </c>
      <c r="B15" s="24"/>
      <c r="C15" s="80" t="s">
        <v>15</v>
      </c>
      <c r="D15" s="80"/>
      <c r="E15" s="80"/>
      <c r="F15" s="80"/>
      <c r="G15" s="80" t="s">
        <v>15</v>
      </c>
      <c r="H15" s="80"/>
      <c r="I15" s="26"/>
      <c r="J15" s="32"/>
      <c r="K15" s="33"/>
      <c r="L15" s="35"/>
    </row>
    <row r="16" spans="1:12" ht="30" customHeight="1" x14ac:dyDescent="0.25">
      <c r="A16" s="23" t="s">
        <v>1</v>
      </c>
      <c r="B16" s="18" t="s">
        <v>8</v>
      </c>
      <c r="C16" s="84"/>
      <c r="D16" s="84"/>
      <c r="E16" s="84" t="s">
        <v>8</v>
      </c>
      <c r="F16" s="84"/>
      <c r="G16" s="84"/>
      <c r="H16" s="84"/>
      <c r="I16" s="21" t="s">
        <v>8</v>
      </c>
      <c r="J16" s="32"/>
      <c r="K16" s="33"/>
      <c r="L16" s="35"/>
    </row>
    <row r="17" spans="1:12" ht="30" customHeight="1" x14ac:dyDescent="0.25">
      <c r="A17" s="23" t="s">
        <v>2</v>
      </c>
      <c r="B17" s="24" t="s">
        <v>9</v>
      </c>
      <c r="C17" s="80"/>
      <c r="D17" s="80"/>
      <c r="E17" s="80" t="s">
        <v>9</v>
      </c>
      <c r="F17" s="80"/>
      <c r="G17" s="80"/>
      <c r="H17" s="80"/>
      <c r="I17" s="26" t="s">
        <v>9</v>
      </c>
      <c r="J17" s="32"/>
      <c r="K17" s="33"/>
      <c r="L17" s="35"/>
    </row>
    <row r="18" spans="1:12" ht="30" customHeight="1" x14ac:dyDescent="0.25">
      <c r="A18" s="23" t="s">
        <v>1</v>
      </c>
      <c r="B18" s="18"/>
      <c r="C18" s="84"/>
      <c r="D18" s="84"/>
      <c r="E18" s="84"/>
      <c r="F18" s="84"/>
      <c r="G18" s="84"/>
      <c r="H18" s="84"/>
      <c r="I18" s="19"/>
      <c r="J18" s="32"/>
      <c r="K18" s="33"/>
      <c r="L18" s="35"/>
    </row>
    <row r="19" spans="1:12" ht="30" customHeight="1" x14ac:dyDescent="0.25">
      <c r="A19" s="23" t="s">
        <v>2</v>
      </c>
      <c r="B19" s="24"/>
      <c r="C19" s="80"/>
      <c r="D19" s="80"/>
      <c r="E19" s="80"/>
      <c r="F19" s="80"/>
      <c r="G19" s="80"/>
      <c r="H19" s="80"/>
      <c r="I19" s="39"/>
      <c r="J19" s="16"/>
      <c r="K19" s="14"/>
      <c r="L19" s="37"/>
    </row>
    <row r="20" spans="1:12" ht="30" customHeight="1" x14ac:dyDescent="0.25">
      <c r="A20" s="23" t="s">
        <v>1</v>
      </c>
      <c r="B20" s="18"/>
      <c r="C20" s="84"/>
      <c r="D20" s="84"/>
      <c r="E20" s="84"/>
      <c r="F20" s="84"/>
      <c r="G20" s="84"/>
      <c r="H20" s="84"/>
      <c r="I20" s="19"/>
      <c r="J20" s="32" t="s">
        <v>19</v>
      </c>
      <c r="K20" s="17"/>
      <c r="L20" s="35"/>
    </row>
    <row r="21" spans="1:12" ht="30" customHeight="1" x14ac:dyDescent="0.25">
      <c r="A21" s="23" t="s">
        <v>2</v>
      </c>
      <c r="B21" s="24"/>
      <c r="C21" s="80"/>
      <c r="D21" s="80"/>
      <c r="E21" s="80"/>
      <c r="F21" s="80"/>
      <c r="G21" s="80"/>
      <c r="H21" s="80"/>
      <c r="I21" s="26"/>
      <c r="J21" s="32"/>
      <c r="K21" s="33"/>
      <c r="L21" s="35"/>
    </row>
    <row r="22" spans="1:12" ht="30" customHeight="1" x14ac:dyDescent="0.25">
      <c r="A22" s="23" t="s">
        <v>1</v>
      </c>
      <c r="B22" s="18"/>
      <c r="C22" s="84"/>
      <c r="D22" s="84"/>
      <c r="E22" s="84"/>
      <c r="F22" s="84"/>
      <c r="G22" s="84"/>
      <c r="H22" s="84"/>
      <c r="I22" s="19"/>
      <c r="J22" s="32"/>
      <c r="K22" s="33"/>
      <c r="L22" s="35"/>
    </row>
    <row r="23" spans="1:12" ht="30" customHeight="1" x14ac:dyDescent="0.25">
      <c r="A23" s="23" t="s">
        <v>2</v>
      </c>
      <c r="B23" s="24"/>
      <c r="C23" s="80"/>
      <c r="D23" s="80"/>
      <c r="E23" s="80"/>
      <c r="F23" s="80"/>
      <c r="G23" s="80"/>
      <c r="H23" s="80"/>
      <c r="I23" s="26"/>
      <c r="J23" s="32"/>
      <c r="K23" s="33"/>
      <c r="L23" s="35"/>
    </row>
    <row r="24" spans="1:12" ht="30" customHeight="1" x14ac:dyDescent="0.25">
      <c r="A24" s="23" t="s">
        <v>1</v>
      </c>
      <c r="B24" s="18">
        <v>0.58333333333333337</v>
      </c>
      <c r="C24" s="84"/>
      <c r="D24" s="84"/>
      <c r="E24" s="84">
        <v>0.58333333333333337</v>
      </c>
      <c r="F24" s="84"/>
      <c r="G24" s="84"/>
      <c r="H24" s="84"/>
      <c r="I24" s="19">
        <v>0.58333333333333337</v>
      </c>
      <c r="J24" s="32"/>
      <c r="K24" s="33"/>
      <c r="L24" s="35"/>
    </row>
    <row r="25" spans="1:12" ht="30" customHeight="1" x14ac:dyDescent="0.25">
      <c r="A25" s="23" t="s">
        <v>2</v>
      </c>
      <c r="B25" s="24" t="s">
        <v>10</v>
      </c>
      <c r="C25" s="80"/>
      <c r="D25" s="80"/>
      <c r="E25" s="80" t="s">
        <v>10</v>
      </c>
      <c r="F25" s="80"/>
      <c r="G25" s="80"/>
      <c r="H25" s="80"/>
      <c r="I25" s="26" t="s">
        <v>10</v>
      </c>
      <c r="J25" s="16"/>
      <c r="K25" s="14"/>
      <c r="L25" s="37"/>
    </row>
    <row r="26" spans="1:12" ht="30" customHeight="1" x14ac:dyDescent="0.25">
      <c r="A26" s="23" t="s">
        <v>1</v>
      </c>
      <c r="B26" s="18"/>
      <c r="C26" s="84"/>
      <c r="D26" s="84"/>
      <c r="E26" s="84"/>
      <c r="F26" s="84"/>
      <c r="G26" s="84"/>
      <c r="H26" s="84"/>
      <c r="I26" s="19"/>
      <c r="J26" s="32" t="s">
        <v>21</v>
      </c>
      <c r="K26" s="17"/>
      <c r="L26" s="35" t="s">
        <v>30</v>
      </c>
    </row>
    <row r="27" spans="1:12" ht="30" customHeight="1" x14ac:dyDescent="0.25">
      <c r="A27" s="23" t="s">
        <v>2</v>
      </c>
      <c r="B27" s="24"/>
      <c r="C27" s="80"/>
      <c r="D27" s="80"/>
      <c r="E27" s="80"/>
      <c r="F27" s="80"/>
      <c r="G27" s="80"/>
      <c r="H27" s="80"/>
      <c r="I27" s="26"/>
      <c r="J27" s="32"/>
      <c r="K27" s="33"/>
      <c r="L27" s="35"/>
    </row>
    <row r="28" spans="1:12" ht="30" customHeight="1" x14ac:dyDescent="0.25">
      <c r="A28" s="23" t="s">
        <v>1</v>
      </c>
      <c r="B28" s="18"/>
      <c r="C28" s="84">
        <v>0.66666666666666663</v>
      </c>
      <c r="D28" s="84"/>
      <c r="E28" s="84"/>
      <c r="F28" s="84"/>
      <c r="G28" s="84">
        <v>0.66666666666666663</v>
      </c>
      <c r="H28" s="84"/>
      <c r="I28" s="19"/>
      <c r="J28" s="32"/>
      <c r="K28" s="33"/>
      <c r="L28" s="35"/>
    </row>
    <row r="29" spans="1:12" ht="30" customHeight="1" x14ac:dyDescent="0.25">
      <c r="A29" s="23" t="s">
        <v>2</v>
      </c>
      <c r="B29" s="24"/>
      <c r="C29" s="80" t="s">
        <v>16</v>
      </c>
      <c r="D29" s="80"/>
      <c r="E29" s="80"/>
      <c r="F29" s="80"/>
      <c r="G29" s="80" t="s">
        <v>16</v>
      </c>
      <c r="H29" s="80"/>
      <c r="I29" s="26"/>
      <c r="J29" s="32"/>
      <c r="K29" s="33"/>
      <c r="L29" s="35"/>
    </row>
    <row r="30" spans="1:12" ht="30" customHeight="1" x14ac:dyDescent="0.25">
      <c r="A30" s="23" t="s">
        <v>1</v>
      </c>
      <c r="B30" s="18"/>
      <c r="C30" s="84"/>
      <c r="D30" s="84"/>
      <c r="E30" s="84"/>
      <c r="F30" s="84"/>
      <c r="G30" s="84"/>
      <c r="H30" s="84"/>
      <c r="I30" s="19"/>
      <c r="J30" s="32"/>
      <c r="K30" s="33"/>
      <c r="L30" s="35"/>
    </row>
    <row r="31" spans="1:12" ht="30" customHeight="1" x14ac:dyDescent="0.25">
      <c r="A31" s="23" t="s">
        <v>2</v>
      </c>
      <c r="B31" s="25"/>
      <c r="C31" s="85"/>
      <c r="D31" s="85"/>
      <c r="E31" s="85"/>
      <c r="F31" s="85"/>
      <c r="G31" s="85"/>
      <c r="H31" s="85"/>
      <c r="I31" s="28"/>
      <c r="J31" s="32"/>
      <c r="K31" s="33"/>
      <c r="L31" s="12"/>
    </row>
  </sheetData>
  <mergeCells count="63">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s>
  <conditionalFormatting sqref="C3:H3">
    <cfRule type="expression" dxfId="73" priority="6" stopIfTrue="1">
      <formula>DAY(C3)&gt;8</formula>
    </cfRule>
  </conditionalFormatting>
  <conditionalFormatting sqref="C7:I8">
    <cfRule type="expression" dxfId="72" priority="5" stopIfTrue="1">
      <formula>AND(DAY(C7)&gt;=1,DAY(C7)&lt;=15)</formula>
    </cfRule>
  </conditionalFormatting>
  <conditionalFormatting sqref="C3:I8">
    <cfRule type="expression" dxfId="71" priority="7">
      <formula>VLOOKUP(DAY(C3),DiasTarefa,1,FALSE)=DAY(C3)</formula>
    </cfRule>
  </conditionalFormatting>
  <conditionalFormatting sqref="B13:I13 B15:I15 B17:I17 B19:I19 B21:I21 B23:I23 B25:I25 B27:I27 B29:I29 B31:I31">
    <cfRule type="expression" dxfId="70" priority="4">
      <formula>B13&lt;&gt;""</formula>
    </cfRule>
  </conditionalFormatting>
  <conditionalFormatting sqref="B12:I12 B14:I14 B16:I16 B18:I18 B20:I20 B22:I22 B24:I24 B26:I26 B28:I28 B30:I30">
    <cfRule type="expression" dxfId="69" priority="3">
      <formula>B12&lt;&gt;""</formula>
    </cfRule>
  </conditionalFormatting>
  <conditionalFormatting sqref="B13:I13 B15:I15 B17:I17 B19:I19 B21:I21 B23:I23 B25:I25 B27:I27 B29:I29">
    <cfRule type="expression" dxfId="68" priority="2">
      <formula>COLUMN(B12)&gt;=2</formula>
    </cfRule>
  </conditionalFormatting>
  <conditionalFormatting sqref="B12:I31">
    <cfRule type="expression" dxfId="67" priority="1">
      <formula>COLUMN(B12)&gt;2</formula>
    </cfRule>
  </conditionalFormatting>
  <dataValidations xWindow="209" yWindow="929" count="13">
    <dataValidation allowBlank="1" showInputMessage="1" showErrorMessage="1" prompt="O calendário de abril destaca automaticamente as entradas da lista de tarefas do mês. As fontes mais escuras são tarefas. As fontes mais claras são dias que pertencem ao mês anterior ou seguinte" sqref="B2" xr:uid="{00000000-0002-0000-0300-000000000000}"/>
    <dataValidation allowBlank="1" showInputMessage="1" showErrorMessage="1" prompt="O ano civil é atualizado automaticamente. Para alterar o ano, atualize a célula B1 na planilha de janeiro" sqref="B1" xr:uid="{00000000-0002-0000-0300-000001000000}"/>
    <dataValidation allowBlank="1" showInputMessage="1" showErrorMessage="1" prompt="Prepare um cronograma semanal e crie uma lista de tarefas nesta planilha. As tarefas são destacadas automaticamente no calendário mensal para o ano inserido em B1 na planilha de janeiro" sqref="A1" xr:uid="{00000000-0002-0000-0300-000002000000}"/>
    <dataValidation allowBlank="1" showInputMessage="1" showErrorMessage="1" prompt="Se esta célula não contiver o número 1, ela será um dia de um mês anterior. As células C3:I8 contêm datas do mês atual" sqref="C3" xr:uid="{00000000-0002-0000-0300-000003000000}"/>
    <dataValidation allowBlank="1" showInputMessage="1" showErrorMessage="1" prompt="Se esta linha contiver um número menor que o número ou a linha de números anterior, ela conterá datas para o próximo mês do calendário" sqref="C8" xr:uid="{00000000-0002-0000-0300-000004000000}"/>
    <dataValidation allowBlank="1" showInputMessage="1" showErrorMessage="1" prompt="Insira o horário nesta linha entre as colunas B e I" sqref="B12" xr:uid="{00000000-0002-0000-0300-000005000000}"/>
    <dataValidation allowBlank="1" showInputMessage="1" showErrorMessage="1" prompt="Insira a aula nesta linha entre as colunas B e I" sqref="B13" xr:uid="{00000000-0002-0000-0300-000006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300-000007000000}"/>
    <dataValidation allowBlank="1" showInputMessage="1" showErrorMessage="1" prompt="Insira os detalhes da tarefa nesta coluna, que corresponde ao dia da semana na coluna J e ao dia na coluna K para o mês do calendário à esquerda" sqref="L1" xr:uid="{00000000-0002-0000-0300-000008000000}"/>
    <dataValidation allowBlank="1" showInputMessage="1" showErrorMessage="1" prompt="Insira o dia do mês da tarefa nesta coluna, que corresponde ao dia da semana na coluna J. Essa data destacará a tarefa no calendário à esquerda" sqref="K1" xr:uid="{00000000-0002-0000-0300-000009000000}"/>
    <dataValidation allowBlank="1" showInputMessage="1" showErrorMessage="1" prompt="Os dias da semana estão nesta linha, de segunda a sexta" sqref="B11" xr:uid="{00000000-0002-0000-0300-00000A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300-00000B000000}"/>
    <dataValidation allowBlank="1" showInputMessage="1" showErrorMessage="1" prompt="As células C2:I2 contêm dias da semana" sqref="C2" xr:uid="{00000000-0002-0000-0300-00000C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L31"/>
  <sheetViews>
    <sheetView showGridLines="0" zoomScaleNormal="100" zoomScalePageLayoutView="84" workbookViewId="0"/>
  </sheetViews>
  <sheetFormatPr defaultColWidth="8.625" defaultRowHeight="30" customHeight="1" x14ac:dyDescent="0.2"/>
  <cols>
    <col min="1" max="1" width="2.625" style="1" customWidth="1"/>
    <col min="2" max="2" width="20.625" style="12" customWidth="1"/>
    <col min="3" max="8" width="10.625" style="1" customWidth="1"/>
    <col min="9" max="9" width="20.625" style="1" customWidth="1"/>
    <col min="10" max="10" width="10.625" style="12" customWidth="1"/>
    <col min="11" max="11" width="10.625" style="2" customWidth="1"/>
    <col min="12" max="12" width="70.625" style="1" customWidth="1"/>
    <col min="13" max="13" width="2.625" customWidth="1"/>
  </cols>
  <sheetData>
    <row r="1" spans="1:12" ht="30" customHeight="1" x14ac:dyDescent="0.2">
      <c r="A1" s="12"/>
      <c r="B1" s="9">
        <f ca="1">AnoCivil</f>
        <v>2019</v>
      </c>
      <c r="J1" s="15" t="s">
        <v>0</v>
      </c>
      <c r="K1" s="15" t="s">
        <v>23</v>
      </c>
      <c r="L1" s="8" t="s">
        <v>24</v>
      </c>
    </row>
    <row r="2" spans="1:12" ht="30" customHeight="1" x14ac:dyDescent="0.25">
      <c r="A2" s="10"/>
      <c r="B2" s="20" t="s">
        <v>31</v>
      </c>
      <c r="C2" s="5" t="s">
        <v>12</v>
      </c>
      <c r="D2" s="5" t="s">
        <v>5</v>
      </c>
      <c r="E2" s="5" t="s">
        <v>17</v>
      </c>
      <c r="F2" s="5" t="s">
        <v>18</v>
      </c>
      <c r="G2" s="5" t="s">
        <v>19</v>
      </c>
      <c r="H2" s="5" t="s">
        <v>21</v>
      </c>
      <c r="I2" s="5" t="s">
        <v>22</v>
      </c>
      <c r="J2" s="32" t="s">
        <v>5</v>
      </c>
      <c r="K2" s="33"/>
      <c r="L2" s="35"/>
    </row>
    <row r="3" spans="1:12" ht="30" customHeight="1" x14ac:dyDescent="0.25">
      <c r="A3" s="10"/>
      <c r="C3" s="4">
        <f ca="1">IF(DAY(MaiDom1)=1,MaiDom1-6,MaiDom1+1)</f>
        <v>43583</v>
      </c>
      <c r="D3" s="4">
        <f ca="1">IF(DAY(MaiDom1)=1,MaiDom1-5,MaiDom1+2)</f>
        <v>43584</v>
      </c>
      <c r="E3" s="4">
        <f ca="1">IF(DAY(MaiDom1)=1,MaiDom1-4,MaiDom1+3)</f>
        <v>43585</v>
      </c>
      <c r="F3" s="4">
        <f ca="1">IF(DAY(MaiDom1)=1,MaiDom1-3,MaiDom1+4)</f>
        <v>43586</v>
      </c>
      <c r="G3" s="4">
        <f ca="1">IF(DAY(MaiDom1)=1,MaiDom1-2,MaiDom1+5)</f>
        <v>43587</v>
      </c>
      <c r="H3" s="4">
        <f ca="1">IF(DAY(MaiDom1)=1,MaiDom1-1,MaiDom1+6)</f>
        <v>43588</v>
      </c>
      <c r="I3" s="4">
        <f ca="1">IF(DAY(MaiDom1)=1,MaiDom1,MaiDom1+7)</f>
        <v>43589</v>
      </c>
      <c r="J3" s="32"/>
      <c r="K3" s="33"/>
      <c r="L3" s="35"/>
    </row>
    <row r="4" spans="1:12" ht="30" customHeight="1" x14ac:dyDescent="0.25">
      <c r="A4" s="10"/>
      <c r="C4" s="4">
        <f ca="1">IF(DAY(MaiDom1)=1,MaiDom1+1,MaiDom1+8)</f>
        <v>43590</v>
      </c>
      <c r="D4" s="4">
        <f ca="1">IF(DAY(MaiDom1)=1,MaiDom1+2,MaiDom1+9)</f>
        <v>43591</v>
      </c>
      <c r="E4" s="4">
        <f ca="1">IF(DAY(MaiDom1)=1,MaiDom1+3,MaiDom1+10)</f>
        <v>43592</v>
      </c>
      <c r="F4" s="4">
        <f ca="1">IF(DAY(MaiDom1)=1,MaiDom1+4,MaiDom1+11)</f>
        <v>43593</v>
      </c>
      <c r="G4" s="4">
        <f ca="1">IF(DAY(MaiDom1)=1,MaiDom1+5,MaiDom1+12)</f>
        <v>43594</v>
      </c>
      <c r="H4" s="4">
        <f ca="1">IF(DAY(MaiDom1)=1,MaiDom1+6,MaiDom1+13)</f>
        <v>43595</v>
      </c>
      <c r="I4" s="4">
        <f ca="1">IF(DAY(MaiDom1)=1,MaiDom1+7,MaiDom1+14)</f>
        <v>43596</v>
      </c>
      <c r="J4" s="32"/>
      <c r="K4" s="33"/>
      <c r="L4" s="35"/>
    </row>
    <row r="5" spans="1:12" ht="30" customHeight="1" x14ac:dyDescent="0.25">
      <c r="A5" s="10"/>
      <c r="C5" s="4">
        <f ca="1">IF(DAY(MaiDom1)=1,MaiDom1+8,MaiDom1+15)</f>
        <v>43597</v>
      </c>
      <c r="D5" s="4">
        <f ca="1">IF(DAY(MaiDom1)=1,MaiDom1+9,MaiDom1+16)</f>
        <v>43598</v>
      </c>
      <c r="E5" s="4">
        <f ca="1">IF(DAY(MaiDom1)=1,MaiDom1+10,MaiDom1+17)</f>
        <v>43599</v>
      </c>
      <c r="F5" s="4">
        <f ca="1">IF(DAY(MaiDom1)=1,MaiDom1+11,MaiDom1+18)</f>
        <v>43600</v>
      </c>
      <c r="G5" s="4">
        <f ca="1">IF(DAY(MaiDom1)=1,MaiDom1+12,MaiDom1+19)</f>
        <v>43601</v>
      </c>
      <c r="H5" s="4">
        <f ca="1">IF(DAY(MaiDom1)=1,MaiDom1+13,MaiDom1+20)</f>
        <v>43602</v>
      </c>
      <c r="I5" s="4">
        <f ca="1">IF(DAY(MaiDom1)=1,MaiDom1+14,MaiDom1+21)</f>
        <v>43603</v>
      </c>
      <c r="J5" s="32"/>
      <c r="K5" s="33"/>
      <c r="L5" s="35"/>
    </row>
    <row r="6" spans="1:12" ht="30" customHeight="1" x14ac:dyDescent="0.25">
      <c r="A6" s="10"/>
      <c r="C6" s="4">
        <f ca="1">IF(DAY(MaiDom1)=1,MaiDom1+15,MaiDom1+22)</f>
        <v>43604</v>
      </c>
      <c r="D6" s="4">
        <f ca="1">IF(DAY(MaiDom1)=1,MaiDom1+16,MaiDom1+23)</f>
        <v>43605</v>
      </c>
      <c r="E6" s="4">
        <f ca="1">IF(DAY(MaiDom1)=1,MaiDom1+17,MaiDom1+24)</f>
        <v>43606</v>
      </c>
      <c r="F6" s="4">
        <f ca="1">IF(DAY(MaiDom1)=1,MaiDom1+18,MaiDom1+25)</f>
        <v>43607</v>
      </c>
      <c r="G6" s="4">
        <f ca="1">IF(DAY(MaiDom1)=1,MaiDom1+19,MaiDom1+26)</f>
        <v>43608</v>
      </c>
      <c r="H6" s="4">
        <f ca="1">IF(DAY(MaiDom1)=1,MaiDom1+20,MaiDom1+27)</f>
        <v>43609</v>
      </c>
      <c r="I6" s="4">
        <f ca="1">IF(DAY(MaiDom1)=1,MaiDom1+21,MaiDom1+28)</f>
        <v>43610</v>
      </c>
      <c r="J6" s="32"/>
      <c r="K6" s="33"/>
      <c r="L6" s="35"/>
    </row>
    <row r="7" spans="1:12" ht="30" customHeight="1" x14ac:dyDescent="0.25">
      <c r="A7" s="10"/>
      <c r="C7" s="4">
        <f ca="1">IF(DAY(MaiDom1)=1,MaiDom1+22,MaiDom1+29)</f>
        <v>43611</v>
      </c>
      <c r="D7" s="4">
        <f ca="1">IF(DAY(MaiDom1)=1,MaiDom1+23,MaiDom1+30)</f>
        <v>43612</v>
      </c>
      <c r="E7" s="4">
        <f ca="1">IF(DAY(MaiDom1)=1,MaiDom1+24,MaiDom1+31)</f>
        <v>43613</v>
      </c>
      <c r="F7" s="4">
        <f ca="1">IF(DAY(MaiDom1)=1,MaiDom1+25,MaiDom1+32)</f>
        <v>43614</v>
      </c>
      <c r="G7" s="4">
        <f ca="1">IF(DAY(MaiDom1)=1,MaiDom1+26,MaiDom1+33)</f>
        <v>43615</v>
      </c>
      <c r="H7" s="4">
        <f ca="1">IF(DAY(MaiDom1)=1,MaiDom1+27,MaiDom1+34)</f>
        <v>43616</v>
      </c>
      <c r="I7" s="4">
        <f ca="1">IF(DAY(MaiDom1)=1,MaiDom1+28,MaiDom1+35)</f>
        <v>43617</v>
      </c>
      <c r="J7" s="16"/>
      <c r="K7" s="14"/>
      <c r="L7" s="36"/>
    </row>
    <row r="8" spans="1:12" ht="30" customHeight="1" x14ac:dyDescent="0.25">
      <c r="A8" s="10"/>
      <c r="B8" s="13"/>
      <c r="C8" s="4">
        <f ca="1">IF(DAY(MaiDom1)=1,MaiDom1+29,MaiDom1+36)</f>
        <v>43618</v>
      </c>
      <c r="D8" s="4">
        <f ca="1">IF(DAY(MaiDom1)=1,MaiDom1+30,MaiDom1+37)</f>
        <v>43619</v>
      </c>
      <c r="E8" s="4">
        <f ca="1">IF(DAY(MaiDom1)=1,MaiDom1+31,MaiDom1+38)</f>
        <v>43620</v>
      </c>
      <c r="F8" s="4">
        <f ca="1">IF(DAY(MaiDom1)=1,MaiDom1+32,MaiDom1+39)</f>
        <v>43621</v>
      </c>
      <c r="G8" s="4">
        <f ca="1">IF(DAY(MaiDom1)=1,MaiDom1+33,MaiDom1+40)</f>
        <v>43622</v>
      </c>
      <c r="H8" s="4">
        <f ca="1">IF(DAY(MaiDom1)=1,MaiDom1+34,MaiDom1+41)</f>
        <v>43623</v>
      </c>
      <c r="I8" s="4">
        <f ca="1">IF(DAY(MaiDom1)=1,MaiDom1+35,MaiDom1+42)</f>
        <v>43624</v>
      </c>
      <c r="J8" s="32" t="s">
        <v>17</v>
      </c>
      <c r="K8" s="17"/>
      <c r="L8" s="35"/>
    </row>
    <row r="9" spans="1:12" ht="30" customHeight="1" x14ac:dyDescent="0.25">
      <c r="A9" s="10"/>
      <c r="C9" s="3"/>
      <c r="D9" s="3"/>
      <c r="E9" s="3"/>
      <c r="F9" s="3"/>
      <c r="G9" s="3"/>
      <c r="H9" s="3"/>
      <c r="I9" s="3"/>
      <c r="J9" s="32"/>
      <c r="K9" s="33"/>
      <c r="L9" s="35"/>
    </row>
    <row r="10" spans="1:12" ht="30" customHeight="1" x14ac:dyDescent="0.25">
      <c r="A10" s="10"/>
      <c r="B10" s="11" t="s">
        <v>4</v>
      </c>
      <c r="C10" s="6"/>
      <c r="D10" s="6"/>
      <c r="E10" s="6"/>
      <c r="F10" s="6"/>
      <c r="G10" s="6"/>
      <c r="H10" s="6"/>
      <c r="I10" s="6"/>
      <c r="J10" s="32"/>
      <c r="K10" s="33"/>
      <c r="L10" s="35"/>
    </row>
    <row r="11" spans="1:12" ht="30" customHeight="1" x14ac:dyDescent="0.25">
      <c r="A11" s="23" t="s">
        <v>0</v>
      </c>
      <c r="B11" s="22" t="s">
        <v>5</v>
      </c>
      <c r="C11" s="82" t="s">
        <v>13</v>
      </c>
      <c r="D11" s="83"/>
      <c r="E11" s="82" t="s">
        <v>18</v>
      </c>
      <c r="F11" s="83"/>
      <c r="G11" s="82" t="s">
        <v>20</v>
      </c>
      <c r="H11" s="83"/>
      <c r="I11" s="31" t="s">
        <v>21</v>
      </c>
      <c r="J11" s="32"/>
      <c r="K11" s="33"/>
      <c r="L11" s="35"/>
    </row>
    <row r="12" spans="1:12" ht="30" customHeight="1" x14ac:dyDescent="0.25">
      <c r="A12" s="23" t="s">
        <v>1</v>
      </c>
      <c r="B12" s="19" t="s">
        <v>6</v>
      </c>
      <c r="C12" s="84"/>
      <c r="D12" s="84"/>
      <c r="E12" s="84" t="s">
        <v>6</v>
      </c>
      <c r="F12" s="84"/>
      <c r="G12" s="84"/>
      <c r="H12" s="84"/>
      <c r="I12" s="19" t="s">
        <v>6</v>
      </c>
      <c r="J12" s="32"/>
      <c r="K12" s="33"/>
      <c r="L12" s="35"/>
    </row>
    <row r="13" spans="1:12" ht="30" customHeight="1" x14ac:dyDescent="0.25">
      <c r="A13" s="23" t="s">
        <v>2</v>
      </c>
      <c r="B13" s="24" t="s">
        <v>7</v>
      </c>
      <c r="C13" s="80"/>
      <c r="D13" s="80"/>
      <c r="E13" s="80" t="s">
        <v>7</v>
      </c>
      <c r="F13" s="80"/>
      <c r="G13" s="80"/>
      <c r="H13" s="80"/>
      <c r="I13" s="26" t="s">
        <v>7</v>
      </c>
      <c r="J13" s="16"/>
      <c r="K13" s="14"/>
      <c r="L13" s="36"/>
    </row>
    <row r="14" spans="1:12" ht="30" customHeight="1" x14ac:dyDescent="0.25">
      <c r="A14" s="23" t="s">
        <v>1</v>
      </c>
      <c r="B14" s="18"/>
      <c r="C14" s="84" t="s">
        <v>14</v>
      </c>
      <c r="D14" s="84"/>
      <c r="E14" s="84"/>
      <c r="F14" s="84"/>
      <c r="G14" s="84" t="s">
        <v>14</v>
      </c>
      <c r="H14" s="84"/>
      <c r="I14" s="19"/>
      <c r="J14" s="27" t="s">
        <v>18</v>
      </c>
      <c r="K14" s="17"/>
      <c r="L14" s="35"/>
    </row>
    <row r="15" spans="1:12" ht="30" customHeight="1" x14ac:dyDescent="0.25">
      <c r="A15" s="23" t="s">
        <v>2</v>
      </c>
      <c r="B15" s="24"/>
      <c r="C15" s="80" t="s">
        <v>15</v>
      </c>
      <c r="D15" s="80"/>
      <c r="E15" s="80"/>
      <c r="F15" s="80"/>
      <c r="G15" s="80" t="s">
        <v>15</v>
      </c>
      <c r="H15" s="80"/>
      <c r="I15" s="26"/>
      <c r="J15" s="32"/>
      <c r="K15" s="33"/>
      <c r="L15" s="35"/>
    </row>
    <row r="16" spans="1:12" ht="30" customHeight="1" x14ac:dyDescent="0.25">
      <c r="A16" s="23" t="s">
        <v>1</v>
      </c>
      <c r="B16" s="18" t="s">
        <v>8</v>
      </c>
      <c r="C16" s="84"/>
      <c r="D16" s="84"/>
      <c r="E16" s="84" t="s">
        <v>8</v>
      </c>
      <c r="F16" s="84"/>
      <c r="G16" s="84"/>
      <c r="H16" s="84"/>
      <c r="I16" s="21" t="s">
        <v>8</v>
      </c>
      <c r="J16" s="32"/>
      <c r="K16" s="33"/>
      <c r="L16" s="35"/>
    </row>
    <row r="17" spans="1:12" ht="30" customHeight="1" x14ac:dyDescent="0.25">
      <c r="A17" s="23" t="s">
        <v>2</v>
      </c>
      <c r="B17" s="24" t="s">
        <v>9</v>
      </c>
      <c r="C17" s="80"/>
      <c r="D17" s="80"/>
      <c r="E17" s="80" t="s">
        <v>9</v>
      </c>
      <c r="F17" s="80"/>
      <c r="G17" s="80"/>
      <c r="H17" s="80"/>
      <c r="I17" s="26" t="s">
        <v>9</v>
      </c>
      <c r="J17" s="32"/>
      <c r="K17" s="33"/>
      <c r="L17" s="35"/>
    </row>
    <row r="18" spans="1:12" ht="30" customHeight="1" x14ac:dyDescent="0.25">
      <c r="A18" s="23" t="s">
        <v>1</v>
      </c>
      <c r="B18" s="18"/>
      <c r="C18" s="84"/>
      <c r="D18" s="84"/>
      <c r="E18" s="84"/>
      <c r="F18" s="84"/>
      <c r="G18" s="84"/>
      <c r="H18" s="84"/>
      <c r="I18" s="19"/>
      <c r="J18" s="32"/>
      <c r="K18" s="33"/>
      <c r="L18" s="35"/>
    </row>
    <row r="19" spans="1:12" ht="30" customHeight="1" x14ac:dyDescent="0.25">
      <c r="A19" s="23" t="s">
        <v>2</v>
      </c>
      <c r="B19" s="24"/>
      <c r="C19" s="80"/>
      <c r="D19" s="80"/>
      <c r="E19" s="80"/>
      <c r="F19" s="80"/>
      <c r="G19" s="80"/>
      <c r="H19" s="80"/>
      <c r="I19" s="39"/>
      <c r="J19" s="16"/>
      <c r="K19" s="14"/>
      <c r="L19" s="36"/>
    </row>
    <row r="20" spans="1:12" ht="30" customHeight="1" x14ac:dyDescent="0.25">
      <c r="A20" s="23" t="s">
        <v>1</v>
      </c>
      <c r="B20" s="18"/>
      <c r="C20" s="84"/>
      <c r="D20" s="84"/>
      <c r="E20" s="84"/>
      <c r="F20" s="84"/>
      <c r="G20" s="84"/>
      <c r="H20" s="84"/>
      <c r="I20" s="19"/>
      <c r="J20" s="32" t="s">
        <v>19</v>
      </c>
      <c r="K20" s="17"/>
      <c r="L20" s="35"/>
    </row>
    <row r="21" spans="1:12" ht="30" customHeight="1" x14ac:dyDescent="0.25">
      <c r="A21" s="23" t="s">
        <v>2</v>
      </c>
      <c r="B21" s="24"/>
      <c r="C21" s="80"/>
      <c r="D21" s="80"/>
      <c r="E21" s="80"/>
      <c r="F21" s="80"/>
      <c r="G21" s="80"/>
      <c r="H21" s="80"/>
      <c r="I21" s="26"/>
      <c r="J21" s="32"/>
      <c r="K21" s="33"/>
      <c r="L21" s="35"/>
    </row>
    <row r="22" spans="1:12" ht="30" customHeight="1" x14ac:dyDescent="0.25">
      <c r="A22" s="23" t="s">
        <v>1</v>
      </c>
      <c r="B22" s="18"/>
      <c r="C22" s="84"/>
      <c r="D22" s="84"/>
      <c r="E22" s="84"/>
      <c r="F22" s="84"/>
      <c r="G22" s="84"/>
      <c r="H22" s="84"/>
      <c r="I22" s="19"/>
      <c r="J22" s="32"/>
      <c r="K22" s="33"/>
      <c r="L22" s="35"/>
    </row>
    <row r="23" spans="1:12" ht="30" customHeight="1" x14ac:dyDescent="0.25">
      <c r="A23" s="23" t="s">
        <v>2</v>
      </c>
      <c r="B23" s="24"/>
      <c r="C23" s="80"/>
      <c r="D23" s="80"/>
      <c r="E23" s="80"/>
      <c r="F23" s="80"/>
      <c r="G23" s="80"/>
      <c r="H23" s="80"/>
      <c r="I23" s="26"/>
      <c r="J23" s="32"/>
      <c r="K23" s="33"/>
      <c r="L23" s="35"/>
    </row>
    <row r="24" spans="1:12" ht="30" customHeight="1" x14ac:dyDescent="0.25">
      <c r="A24" s="23" t="s">
        <v>1</v>
      </c>
      <c r="B24" s="18">
        <v>0.58333333333333337</v>
      </c>
      <c r="C24" s="84"/>
      <c r="D24" s="84"/>
      <c r="E24" s="84">
        <v>0.58333333333333337</v>
      </c>
      <c r="F24" s="84"/>
      <c r="G24" s="84"/>
      <c r="H24" s="84"/>
      <c r="I24" s="19">
        <v>0.58333333333333337</v>
      </c>
      <c r="J24" s="32"/>
      <c r="K24" s="33"/>
      <c r="L24" s="35"/>
    </row>
    <row r="25" spans="1:12" ht="30" customHeight="1" x14ac:dyDescent="0.25">
      <c r="A25" s="23" t="s">
        <v>2</v>
      </c>
      <c r="B25" s="24" t="s">
        <v>10</v>
      </c>
      <c r="C25" s="80"/>
      <c r="D25" s="80"/>
      <c r="E25" s="80" t="s">
        <v>10</v>
      </c>
      <c r="F25" s="80"/>
      <c r="G25" s="80"/>
      <c r="H25" s="80"/>
      <c r="I25" s="26" t="s">
        <v>10</v>
      </c>
      <c r="J25" s="16"/>
      <c r="K25" s="14"/>
      <c r="L25" s="36"/>
    </row>
    <row r="26" spans="1:12" ht="30" customHeight="1" x14ac:dyDescent="0.25">
      <c r="A26" s="23" t="s">
        <v>1</v>
      </c>
      <c r="B26" s="18"/>
      <c r="C26" s="84"/>
      <c r="D26" s="84"/>
      <c r="E26" s="84"/>
      <c r="F26" s="84"/>
      <c r="G26" s="84"/>
      <c r="H26" s="84"/>
      <c r="I26" s="19"/>
      <c r="J26" s="32" t="s">
        <v>21</v>
      </c>
      <c r="K26" s="17"/>
      <c r="L26" s="35"/>
    </row>
    <row r="27" spans="1:12" ht="30" customHeight="1" x14ac:dyDescent="0.25">
      <c r="A27" s="23" t="s">
        <v>2</v>
      </c>
      <c r="B27" s="24"/>
      <c r="C27" s="80"/>
      <c r="D27" s="80"/>
      <c r="E27" s="80"/>
      <c r="F27" s="80"/>
      <c r="G27" s="80"/>
      <c r="H27" s="80"/>
      <c r="I27" s="26"/>
      <c r="J27" s="32"/>
      <c r="K27" s="33"/>
      <c r="L27" s="35"/>
    </row>
    <row r="28" spans="1:12" ht="30" customHeight="1" x14ac:dyDescent="0.25">
      <c r="A28" s="23" t="s">
        <v>1</v>
      </c>
      <c r="B28" s="18"/>
      <c r="C28" s="84">
        <v>0.66666666666666663</v>
      </c>
      <c r="D28" s="84"/>
      <c r="E28" s="84"/>
      <c r="F28" s="84"/>
      <c r="G28" s="84">
        <v>0.66666666666666663</v>
      </c>
      <c r="H28" s="84"/>
      <c r="I28" s="19"/>
      <c r="J28" s="32"/>
      <c r="K28" s="33"/>
      <c r="L28" s="35"/>
    </row>
    <row r="29" spans="1:12" ht="30" customHeight="1" x14ac:dyDescent="0.25">
      <c r="A29" s="23" t="s">
        <v>2</v>
      </c>
      <c r="B29" s="24"/>
      <c r="C29" s="80" t="s">
        <v>16</v>
      </c>
      <c r="D29" s="80"/>
      <c r="E29" s="80"/>
      <c r="F29" s="80"/>
      <c r="G29" s="80" t="s">
        <v>16</v>
      </c>
      <c r="H29" s="80"/>
      <c r="I29" s="26"/>
      <c r="J29" s="32"/>
      <c r="K29" s="33"/>
      <c r="L29" s="35"/>
    </row>
    <row r="30" spans="1:12" ht="30" customHeight="1" x14ac:dyDescent="0.25">
      <c r="A30" s="23" t="s">
        <v>1</v>
      </c>
      <c r="B30" s="18"/>
      <c r="C30" s="84"/>
      <c r="D30" s="84"/>
      <c r="E30" s="84"/>
      <c r="F30" s="84"/>
      <c r="G30" s="84"/>
      <c r="H30" s="84"/>
      <c r="I30" s="19"/>
      <c r="J30" s="32"/>
      <c r="K30" s="33"/>
      <c r="L30" s="35"/>
    </row>
    <row r="31" spans="1:12" ht="30" customHeight="1" x14ac:dyDescent="0.25">
      <c r="A31" s="23" t="s">
        <v>2</v>
      </c>
      <c r="B31" s="25"/>
      <c r="C31" s="85"/>
      <c r="D31" s="85"/>
      <c r="E31" s="85"/>
      <c r="F31" s="85"/>
      <c r="G31" s="85"/>
      <c r="H31" s="85"/>
      <c r="I31" s="28"/>
      <c r="J31" s="32"/>
      <c r="K31" s="33"/>
      <c r="L31" s="12"/>
    </row>
  </sheetData>
  <mergeCells count="63">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s>
  <conditionalFormatting sqref="C3:H3">
    <cfRule type="expression" dxfId="65" priority="6" stopIfTrue="1">
      <formula>DAY(C3)&gt;8</formula>
    </cfRule>
  </conditionalFormatting>
  <conditionalFormatting sqref="C7:I8">
    <cfRule type="expression" dxfId="64" priority="5" stopIfTrue="1">
      <formula>AND(DAY(C7)&gt;=1,DAY(C7)&lt;=15)</formula>
    </cfRule>
  </conditionalFormatting>
  <conditionalFormatting sqref="C3:I8">
    <cfRule type="expression" dxfId="63" priority="7">
      <formula>VLOOKUP(DAY(C3),DiasTarefa,1,FALSE)=DAY(C3)</formula>
    </cfRule>
  </conditionalFormatting>
  <conditionalFormatting sqref="B13:I13 B15:I15 B17:I17 B19:I19 B21:I21 B23:I23 B25:I25 B27:I27 B29:I29 B31:I31">
    <cfRule type="expression" dxfId="62" priority="4">
      <formula>B13&lt;&gt;""</formula>
    </cfRule>
  </conditionalFormatting>
  <conditionalFormatting sqref="B14:I14 B16:I16 B18:I18 B20:I20 B22:I22 B24:I24 B26:I26 B28:I28 B30:I30 B12:I12">
    <cfRule type="expression" dxfId="61" priority="3">
      <formula>B12&lt;&gt;""</formula>
    </cfRule>
  </conditionalFormatting>
  <conditionalFormatting sqref="B13:I13 B15:I15 B17:I17 B19:I19 B21:I21 B23:I23 B25:I25 B27:I27 B29:I29">
    <cfRule type="expression" dxfId="60" priority="2">
      <formula>COLUMN(B12)&gt;=2</formula>
    </cfRule>
  </conditionalFormatting>
  <conditionalFormatting sqref="B12:I31">
    <cfRule type="expression" dxfId="59" priority="1">
      <formula>COLUMN(B11)&gt;2</formula>
    </cfRule>
  </conditionalFormatting>
  <dataValidations count="12">
    <dataValidation allowBlank="1" showInputMessage="1" showErrorMessage="1" prompt="Insira a aula nesta linha entre as colunas B e I" sqref="B13" xr:uid="{00000000-0002-0000-0400-000000000000}"/>
    <dataValidation allowBlank="1" showInputMessage="1" showErrorMessage="1" prompt="Se esta linha contiver um número menor que o número ou a linha de números anterior, ela conterá datas para o próximo mês do calendário" sqref="C8" xr:uid="{00000000-0002-0000-0400-000001000000}"/>
    <dataValidation allowBlank="1" showInputMessage="1" showErrorMessage="1" prompt="Se esta célula não contiver o número 1, ela será um dia de um mês anterior. As células C3:I8 contêm datas do mês atual" sqref="C3" xr:uid="{00000000-0002-0000-0400-000002000000}"/>
    <dataValidation allowBlank="1" showInputMessage="1" showErrorMessage="1" prompt="Prepare um cronograma semanal e crie uma lista de tarefas nesta planilha. As tarefas são destacadas automaticamente no calendário mensal para o ano inserido em B1 na planilha de janeiro" sqref="A1" xr:uid="{00000000-0002-0000-0400-000003000000}"/>
    <dataValidation allowBlank="1" showInputMessage="1" showErrorMessage="1" prompt="O ano civil é atualizado automaticamente. Para alterar o ano, atualize a célula B1 na planilha de janeiro" sqref="B1" xr:uid="{00000000-0002-0000-0400-000004000000}"/>
    <dataValidation allowBlank="1" showInputMessage="1" showErrorMessage="1" prompt="O calendário de maio destaca automaticamente as entradas da lista de tarefas do mês. As fontes mais escuras são tarefas. As fontes mais claras são dias que pertencem ao mês anterior ou seguinte" sqref="B2" xr:uid="{00000000-0002-0000-0400-000005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400-000006000000}"/>
    <dataValidation allowBlank="1" showInputMessage="1" showErrorMessage="1" prompt="Insira os detalhes da tarefa nesta coluna, que corresponde ao dia da semana na coluna J e ao dia na coluna K para o mês do calendário à esquerda" sqref="L1" xr:uid="{00000000-0002-0000-0400-000007000000}"/>
    <dataValidation allowBlank="1" showInputMessage="1" showErrorMessage="1" prompt="Insira o dia do mês da tarefa nesta coluna, que corresponde ao dia da semana na coluna J. Essa data destacará a tarefa no calendário à esquerda" sqref="K1" xr:uid="{00000000-0002-0000-0400-000008000000}"/>
    <dataValidation allowBlank="1" showInputMessage="1" showErrorMessage="1" prompt="Os dias da semana estão nesta linha, de segunda a sexta" sqref="B11" xr:uid="{00000000-0002-0000-0400-000009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400-00000A000000}"/>
    <dataValidation allowBlank="1" showInputMessage="1" showErrorMessage="1" prompt="As células C2:I2 contêm dias da semana" sqref="C2" xr:uid="{00000000-0002-0000-0400-00000B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L31"/>
  <sheetViews>
    <sheetView showGridLines="0" zoomScaleNormal="100" zoomScalePageLayoutView="84" workbookViewId="0"/>
  </sheetViews>
  <sheetFormatPr defaultColWidth="8.625" defaultRowHeight="30" customHeight="1" x14ac:dyDescent="0.2"/>
  <cols>
    <col min="1" max="1" width="2.625" style="1" customWidth="1"/>
    <col min="2" max="2" width="20.625" style="12" customWidth="1"/>
    <col min="3" max="8" width="10.625" style="1" customWidth="1"/>
    <col min="9" max="9" width="20.625" style="1" customWidth="1"/>
    <col min="10" max="10" width="10.625" style="12" customWidth="1"/>
    <col min="11" max="11" width="10.625" style="2" customWidth="1"/>
    <col min="12" max="12" width="70.625" style="1" customWidth="1"/>
    <col min="13" max="13" width="2.625" customWidth="1"/>
  </cols>
  <sheetData>
    <row r="1" spans="1:12" ht="30" customHeight="1" x14ac:dyDescent="0.2">
      <c r="A1" s="12"/>
      <c r="B1" s="9">
        <f ca="1">AnoCivil</f>
        <v>2019</v>
      </c>
      <c r="J1" s="15" t="s">
        <v>0</v>
      </c>
      <c r="K1" s="15" t="s">
        <v>23</v>
      </c>
      <c r="L1" s="8" t="s">
        <v>24</v>
      </c>
    </row>
    <row r="2" spans="1:12" ht="30" customHeight="1" x14ac:dyDescent="0.25">
      <c r="A2" s="10"/>
      <c r="B2" s="20" t="s">
        <v>32</v>
      </c>
      <c r="C2" s="5" t="s">
        <v>12</v>
      </c>
      <c r="D2" s="5" t="s">
        <v>5</v>
      </c>
      <c r="E2" s="5" t="s">
        <v>17</v>
      </c>
      <c r="F2" s="5" t="s">
        <v>18</v>
      </c>
      <c r="G2" s="5" t="s">
        <v>19</v>
      </c>
      <c r="H2" s="5" t="s">
        <v>21</v>
      </c>
      <c r="I2" s="5" t="s">
        <v>22</v>
      </c>
      <c r="J2" s="32" t="s">
        <v>5</v>
      </c>
      <c r="K2" s="33"/>
      <c r="L2" s="35"/>
    </row>
    <row r="3" spans="1:12" ht="30" customHeight="1" x14ac:dyDescent="0.25">
      <c r="A3" s="10"/>
      <c r="C3" s="4">
        <f ca="1">IF(DAY(JunDom1)=1,JunDom1-6,JunDom1+1)</f>
        <v>43611</v>
      </c>
      <c r="D3" s="4">
        <f ca="1">IF(DAY(JunDom1)=1,JunDom1-5,JunDom1+2)</f>
        <v>43612</v>
      </c>
      <c r="E3" s="4">
        <f ca="1">IF(DAY(JunDom1)=1,JunDom1-4,JunDom1+3)</f>
        <v>43613</v>
      </c>
      <c r="F3" s="4">
        <f ca="1">IF(DAY(JunDom1)=1,JunDom1-3,JunDom1+4)</f>
        <v>43614</v>
      </c>
      <c r="G3" s="4">
        <f ca="1">IF(DAY(JunDom1)=1,JunDom1-2,JunDom1+5)</f>
        <v>43615</v>
      </c>
      <c r="H3" s="4">
        <f ca="1">IF(DAY(JunDom1)=1,JunDom1-1,JunDom1+6)</f>
        <v>43616</v>
      </c>
      <c r="I3" s="4">
        <f ca="1">IF(DAY(JunDom1)=1,JunDom1,JunDom1+7)</f>
        <v>43617</v>
      </c>
      <c r="J3" s="32"/>
      <c r="K3" s="33"/>
      <c r="L3" s="35"/>
    </row>
    <row r="4" spans="1:12" ht="30" customHeight="1" x14ac:dyDescent="0.25">
      <c r="A4" s="10"/>
      <c r="C4" s="4">
        <f ca="1">IF(DAY(JunDom1)=1,JunDom1+1,JunDom1+8)</f>
        <v>43618</v>
      </c>
      <c r="D4" s="4">
        <f ca="1">IF(DAY(JunDom1)=1,JunDom1+2,JunDom1+9)</f>
        <v>43619</v>
      </c>
      <c r="E4" s="4">
        <f ca="1">IF(DAY(JunDom1)=1,JunDom1+3,JunDom1+10)</f>
        <v>43620</v>
      </c>
      <c r="F4" s="4">
        <f ca="1">IF(DAY(JunDom1)=1,JunDom1+4,JunDom1+11)</f>
        <v>43621</v>
      </c>
      <c r="G4" s="4">
        <f ca="1">IF(DAY(JunDom1)=1,JunDom1+5,JunDom1+12)</f>
        <v>43622</v>
      </c>
      <c r="H4" s="4">
        <f ca="1">IF(DAY(JunDom1)=1,JunDom1+6,JunDom1+13)</f>
        <v>43623</v>
      </c>
      <c r="I4" s="4">
        <f ca="1">IF(DAY(JunDom1)=1,JunDom1+7,JunDom1+14)</f>
        <v>43624</v>
      </c>
      <c r="J4" s="32"/>
      <c r="K4" s="33"/>
      <c r="L4" s="35"/>
    </row>
    <row r="5" spans="1:12" ht="30" customHeight="1" x14ac:dyDescent="0.25">
      <c r="A5" s="10"/>
      <c r="C5" s="4">
        <f ca="1">IF(DAY(JunDom1)=1,JunDom1+8,JunDom1+15)</f>
        <v>43625</v>
      </c>
      <c r="D5" s="4">
        <f ca="1">IF(DAY(JunDom1)=1,JunDom1+9,JunDom1+16)</f>
        <v>43626</v>
      </c>
      <c r="E5" s="4">
        <f ca="1">IF(DAY(JunDom1)=1,JunDom1+10,JunDom1+17)</f>
        <v>43627</v>
      </c>
      <c r="F5" s="4">
        <f ca="1">IF(DAY(JunDom1)=1,JunDom1+11,JunDom1+18)</f>
        <v>43628</v>
      </c>
      <c r="G5" s="4">
        <f ca="1">IF(DAY(JunDom1)=1,JunDom1+12,JunDom1+19)</f>
        <v>43629</v>
      </c>
      <c r="H5" s="4">
        <f ca="1">IF(DAY(JunDom1)=1,JunDom1+13,JunDom1+20)</f>
        <v>43630</v>
      </c>
      <c r="I5" s="4">
        <f ca="1">IF(DAY(JunDom1)=1,JunDom1+14,JunDom1+21)</f>
        <v>43631</v>
      </c>
      <c r="J5" s="32"/>
      <c r="K5" s="33"/>
      <c r="L5" s="35"/>
    </row>
    <row r="6" spans="1:12" ht="30" customHeight="1" x14ac:dyDescent="0.25">
      <c r="A6" s="10"/>
      <c r="C6" s="4">
        <f ca="1">IF(DAY(JunDom1)=1,JunDom1+15,JunDom1+22)</f>
        <v>43632</v>
      </c>
      <c r="D6" s="4">
        <f ca="1">IF(DAY(JunDom1)=1,JunDom1+16,JunDom1+23)</f>
        <v>43633</v>
      </c>
      <c r="E6" s="4">
        <f ca="1">IF(DAY(JunDom1)=1,JunDom1+17,JunDom1+24)</f>
        <v>43634</v>
      </c>
      <c r="F6" s="4">
        <f ca="1">IF(DAY(JunDom1)=1,JunDom1+18,JunDom1+25)</f>
        <v>43635</v>
      </c>
      <c r="G6" s="4">
        <f ca="1">IF(DAY(JunDom1)=1,JunDom1+19,JunDom1+26)</f>
        <v>43636</v>
      </c>
      <c r="H6" s="4">
        <f ca="1">IF(DAY(JunDom1)=1,JunDom1+20,JunDom1+27)</f>
        <v>43637</v>
      </c>
      <c r="I6" s="4">
        <f ca="1">IF(DAY(JunDom1)=1,JunDom1+21,JunDom1+28)</f>
        <v>43638</v>
      </c>
      <c r="J6" s="32"/>
      <c r="K6" s="33"/>
      <c r="L6" s="35"/>
    </row>
    <row r="7" spans="1:12" ht="30" customHeight="1" x14ac:dyDescent="0.25">
      <c r="A7" s="10"/>
      <c r="C7" s="4">
        <f ca="1">IF(DAY(JunDom1)=1,JunDom1+22,JunDom1+29)</f>
        <v>43639</v>
      </c>
      <c r="D7" s="4">
        <f ca="1">IF(DAY(JunDom1)=1,JunDom1+23,JunDom1+30)</f>
        <v>43640</v>
      </c>
      <c r="E7" s="4">
        <f ca="1">IF(DAY(JunDom1)=1,JunDom1+24,JunDom1+31)</f>
        <v>43641</v>
      </c>
      <c r="F7" s="4">
        <f ca="1">IF(DAY(JunDom1)=1,JunDom1+25,JunDom1+32)</f>
        <v>43642</v>
      </c>
      <c r="G7" s="4">
        <f ca="1">IF(DAY(JunDom1)=1,JunDom1+26,JunDom1+33)</f>
        <v>43643</v>
      </c>
      <c r="H7" s="4">
        <f ca="1">IF(DAY(JunDom1)=1,JunDom1+27,JunDom1+34)</f>
        <v>43644</v>
      </c>
      <c r="I7" s="4">
        <f ca="1">IF(DAY(JunDom1)=1,JunDom1+28,JunDom1+35)</f>
        <v>43645</v>
      </c>
      <c r="J7" s="30"/>
      <c r="K7" s="34"/>
      <c r="L7" s="38"/>
    </row>
    <row r="8" spans="1:12" ht="30" customHeight="1" x14ac:dyDescent="0.25">
      <c r="A8" s="10"/>
      <c r="B8" s="13"/>
      <c r="C8" s="4">
        <f ca="1">IF(DAY(JunDom1)=1,JunDom1+29,JunDom1+36)</f>
        <v>43646</v>
      </c>
      <c r="D8" s="4">
        <f ca="1">IF(DAY(JunDom1)=1,JunDom1+30,JunDom1+37)</f>
        <v>43647</v>
      </c>
      <c r="E8" s="4">
        <f ca="1">IF(DAY(JunDom1)=1,JunDom1+31,JunDom1+38)</f>
        <v>43648</v>
      </c>
      <c r="F8" s="4">
        <f ca="1">IF(DAY(JunDom1)=1,JunDom1+32,JunDom1+39)</f>
        <v>43649</v>
      </c>
      <c r="G8" s="4">
        <f ca="1">IF(DAY(JunDom1)=1,JunDom1+33,JunDom1+40)</f>
        <v>43650</v>
      </c>
      <c r="H8" s="4">
        <f ca="1">IF(DAY(JunDom1)=1,JunDom1+34,JunDom1+41)</f>
        <v>43651</v>
      </c>
      <c r="I8" s="4">
        <f ca="1">IF(DAY(JunDom1)=1,JunDom1+35,JunDom1+42)</f>
        <v>43652</v>
      </c>
      <c r="J8" s="32" t="s">
        <v>17</v>
      </c>
      <c r="K8" s="17"/>
      <c r="L8" s="35"/>
    </row>
    <row r="9" spans="1:12" ht="30" customHeight="1" x14ac:dyDescent="0.25">
      <c r="A9" s="10"/>
      <c r="C9" s="3"/>
      <c r="D9" s="3"/>
      <c r="E9" s="3"/>
      <c r="F9" s="3"/>
      <c r="G9" s="3"/>
      <c r="H9" s="3"/>
      <c r="I9" s="3"/>
      <c r="J9" s="32"/>
      <c r="K9" s="33"/>
      <c r="L9" s="35"/>
    </row>
    <row r="10" spans="1:12" ht="30" customHeight="1" x14ac:dyDescent="0.25">
      <c r="A10" s="10"/>
      <c r="B10" s="11" t="s">
        <v>4</v>
      </c>
      <c r="C10" s="6"/>
      <c r="D10" s="6"/>
      <c r="E10" s="6"/>
      <c r="F10" s="6"/>
      <c r="G10" s="6"/>
      <c r="H10" s="6"/>
      <c r="I10" s="6"/>
      <c r="J10" s="32"/>
      <c r="K10" s="33"/>
      <c r="L10" s="35"/>
    </row>
    <row r="11" spans="1:12" ht="30" customHeight="1" x14ac:dyDescent="0.25">
      <c r="A11" s="23" t="s">
        <v>0</v>
      </c>
      <c r="B11" s="22" t="s">
        <v>5</v>
      </c>
      <c r="C11" s="82" t="s">
        <v>13</v>
      </c>
      <c r="D11" s="83"/>
      <c r="E11" s="82" t="s">
        <v>18</v>
      </c>
      <c r="F11" s="83"/>
      <c r="G11" s="82" t="s">
        <v>20</v>
      </c>
      <c r="H11" s="83"/>
      <c r="I11" s="31" t="s">
        <v>21</v>
      </c>
      <c r="J11" s="32"/>
      <c r="K11" s="33"/>
      <c r="L11" s="35"/>
    </row>
    <row r="12" spans="1:12" ht="30" customHeight="1" x14ac:dyDescent="0.25">
      <c r="A12" s="23" t="s">
        <v>1</v>
      </c>
      <c r="B12" s="18" t="s">
        <v>6</v>
      </c>
      <c r="C12" s="84"/>
      <c r="D12" s="84"/>
      <c r="E12" s="84" t="s">
        <v>6</v>
      </c>
      <c r="F12" s="84"/>
      <c r="G12" s="84"/>
      <c r="H12" s="84"/>
      <c r="I12" s="19" t="s">
        <v>6</v>
      </c>
      <c r="J12" s="32"/>
      <c r="K12" s="33"/>
      <c r="L12" s="35"/>
    </row>
    <row r="13" spans="1:12" ht="30" customHeight="1" x14ac:dyDescent="0.25">
      <c r="A13" s="23" t="s">
        <v>2</v>
      </c>
      <c r="B13" s="24" t="s">
        <v>7</v>
      </c>
      <c r="C13" s="80"/>
      <c r="D13" s="80"/>
      <c r="E13" s="80" t="s">
        <v>7</v>
      </c>
      <c r="F13" s="80"/>
      <c r="G13" s="80"/>
      <c r="H13" s="80"/>
      <c r="I13" s="26" t="s">
        <v>7</v>
      </c>
      <c r="J13" s="16"/>
      <c r="K13" s="14"/>
      <c r="L13" s="36"/>
    </row>
    <row r="14" spans="1:12" ht="30" customHeight="1" x14ac:dyDescent="0.25">
      <c r="A14" s="23" t="s">
        <v>1</v>
      </c>
      <c r="B14" s="18"/>
      <c r="C14" s="84" t="s">
        <v>14</v>
      </c>
      <c r="D14" s="84"/>
      <c r="E14" s="84"/>
      <c r="F14" s="84"/>
      <c r="G14" s="84" t="s">
        <v>14</v>
      </c>
      <c r="H14" s="84"/>
      <c r="I14" s="19"/>
      <c r="J14" s="32" t="s">
        <v>18</v>
      </c>
      <c r="K14" s="17"/>
      <c r="L14" s="35"/>
    </row>
    <row r="15" spans="1:12" ht="30" customHeight="1" x14ac:dyDescent="0.25">
      <c r="A15" s="23" t="s">
        <v>2</v>
      </c>
      <c r="B15" s="24"/>
      <c r="C15" s="80" t="s">
        <v>15</v>
      </c>
      <c r="D15" s="80"/>
      <c r="E15" s="80"/>
      <c r="F15" s="80"/>
      <c r="G15" s="80" t="s">
        <v>15</v>
      </c>
      <c r="H15" s="80"/>
      <c r="I15" s="26"/>
      <c r="J15" s="32"/>
      <c r="K15" s="33"/>
      <c r="L15" s="35"/>
    </row>
    <row r="16" spans="1:12" ht="30" customHeight="1" x14ac:dyDescent="0.25">
      <c r="A16" s="23" t="s">
        <v>1</v>
      </c>
      <c r="B16" s="18" t="s">
        <v>8</v>
      </c>
      <c r="C16" s="84"/>
      <c r="D16" s="84"/>
      <c r="E16" s="84" t="s">
        <v>8</v>
      </c>
      <c r="F16" s="84"/>
      <c r="G16" s="84"/>
      <c r="H16" s="84"/>
      <c r="I16" s="21" t="s">
        <v>8</v>
      </c>
      <c r="J16" s="32"/>
      <c r="K16" s="33"/>
      <c r="L16" s="35"/>
    </row>
    <row r="17" spans="1:12" ht="30" customHeight="1" x14ac:dyDescent="0.25">
      <c r="A17" s="23" t="s">
        <v>2</v>
      </c>
      <c r="B17" s="24" t="s">
        <v>9</v>
      </c>
      <c r="C17" s="80"/>
      <c r="D17" s="80"/>
      <c r="E17" s="80" t="s">
        <v>9</v>
      </c>
      <c r="F17" s="80"/>
      <c r="G17" s="80"/>
      <c r="H17" s="80"/>
      <c r="I17" s="26" t="s">
        <v>9</v>
      </c>
      <c r="J17" s="32"/>
      <c r="K17" s="33"/>
      <c r="L17" s="35"/>
    </row>
    <row r="18" spans="1:12" ht="30" customHeight="1" x14ac:dyDescent="0.25">
      <c r="A18" s="23" t="s">
        <v>1</v>
      </c>
      <c r="B18" s="18"/>
      <c r="C18" s="84"/>
      <c r="D18" s="84"/>
      <c r="E18" s="84"/>
      <c r="F18" s="84"/>
      <c r="G18" s="84"/>
      <c r="H18" s="84"/>
      <c r="I18" s="19"/>
      <c r="J18" s="32"/>
      <c r="K18" s="33"/>
      <c r="L18" s="35"/>
    </row>
    <row r="19" spans="1:12" ht="30" customHeight="1" x14ac:dyDescent="0.25">
      <c r="A19" s="23" t="s">
        <v>2</v>
      </c>
      <c r="B19" s="24"/>
      <c r="C19" s="80"/>
      <c r="D19" s="80"/>
      <c r="E19" s="80"/>
      <c r="F19" s="80"/>
      <c r="G19" s="80"/>
      <c r="H19" s="80"/>
      <c r="I19" s="39"/>
      <c r="J19" s="16"/>
      <c r="K19" s="14"/>
      <c r="L19" s="37"/>
    </row>
    <row r="20" spans="1:12" ht="30" customHeight="1" x14ac:dyDescent="0.25">
      <c r="A20" s="23" t="s">
        <v>1</v>
      </c>
      <c r="B20" s="18"/>
      <c r="C20" s="84"/>
      <c r="D20" s="84"/>
      <c r="E20" s="84"/>
      <c r="F20" s="84"/>
      <c r="G20" s="84"/>
      <c r="H20" s="84"/>
      <c r="I20" s="19"/>
      <c r="J20" s="32" t="s">
        <v>19</v>
      </c>
      <c r="K20" s="17"/>
      <c r="L20" s="35"/>
    </row>
    <row r="21" spans="1:12" ht="30" customHeight="1" x14ac:dyDescent="0.25">
      <c r="A21" s="23" t="s">
        <v>2</v>
      </c>
      <c r="B21" s="24"/>
      <c r="C21" s="80"/>
      <c r="D21" s="80"/>
      <c r="E21" s="80"/>
      <c r="F21" s="80"/>
      <c r="G21" s="80"/>
      <c r="H21" s="80"/>
      <c r="I21" s="26"/>
      <c r="J21" s="32"/>
      <c r="K21" s="33"/>
      <c r="L21" s="35"/>
    </row>
    <row r="22" spans="1:12" ht="30" customHeight="1" x14ac:dyDescent="0.25">
      <c r="A22" s="23" t="s">
        <v>1</v>
      </c>
      <c r="B22" s="18"/>
      <c r="C22" s="84"/>
      <c r="D22" s="84"/>
      <c r="E22" s="84"/>
      <c r="F22" s="84"/>
      <c r="G22" s="84"/>
      <c r="H22" s="84"/>
      <c r="I22" s="19"/>
      <c r="J22" s="32"/>
      <c r="K22" s="33"/>
      <c r="L22" s="35"/>
    </row>
    <row r="23" spans="1:12" ht="30" customHeight="1" x14ac:dyDescent="0.25">
      <c r="A23" s="23" t="s">
        <v>2</v>
      </c>
      <c r="B23" s="24"/>
      <c r="C23" s="80"/>
      <c r="D23" s="80"/>
      <c r="E23" s="80"/>
      <c r="F23" s="80"/>
      <c r="G23" s="80"/>
      <c r="H23" s="80"/>
      <c r="I23" s="26"/>
      <c r="J23" s="32"/>
      <c r="K23" s="33"/>
      <c r="L23" s="35"/>
    </row>
    <row r="24" spans="1:12" ht="30" customHeight="1" x14ac:dyDescent="0.25">
      <c r="A24" s="23" t="s">
        <v>1</v>
      </c>
      <c r="B24" s="18">
        <v>0.58333333333333337</v>
      </c>
      <c r="C24" s="84"/>
      <c r="D24" s="84"/>
      <c r="E24" s="84">
        <v>0.58333333333333337</v>
      </c>
      <c r="F24" s="84"/>
      <c r="G24" s="84"/>
      <c r="H24" s="84"/>
      <c r="I24" s="19">
        <v>0.58333333333333337</v>
      </c>
      <c r="J24" s="32"/>
      <c r="K24" s="33"/>
      <c r="L24" s="35"/>
    </row>
    <row r="25" spans="1:12" ht="30" customHeight="1" x14ac:dyDescent="0.25">
      <c r="A25" s="23" t="s">
        <v>2</v>
      </c>
      <c r="B25" s="24" t="s">
        <v>10</v>
      </c>
      <c r="C25" s="80"/>
      <c r="D25" s="80"/>
      <c r="E25" s="80" t="s">
        <v>10</v>
      </c>
      <c r="F25" s="80"/>
      <c r="G25" s="80"/>
      <c r="H25" s="80"/>
      <c r="I25" s="26" t="s">
        <v>10</v>
      </c>
      <c r="J25" s="16"/>
      <c r="K25" s="14"/>
      <c r="L25" s="37"/>
    </row>
    <row r="26" spans="1:12" ht="30" customHeight="1" x14ac:dyDescent="0.25">
      <c r="A26" s="23" t="s">
        <v>1</v>
      </c>
      <c r="B26" s="18"/>
      <c r="C26" s="84"/>
      <c r="D26" s="84"/>
      <c r="E26" s="84"/>
      <c r="F26" s="84"/>
      <c r="G26" s="84"/>
      <c r="H26" s="84"/>
      <c r="I26" s="19"/>
      <c r="J26" s="32" t="s">
        <v>21</v>
      </c>
      <c r="K26" s="17"/>
      <c r="L26" s="35"/>
    </row>
    <row r="27" spans="1:12" ht="30" customHeight="1" x14ac:dyDescent="0.25">
      <c r="A27" s="23" t="s">
        <v>2</v>
      </c>
      <c r="B27" s="24"/>
      <c r="C27" s="80"/>
      <c r="D27" s="80"/>
      <c r="E27" s="80"/>
      <c r="F27" s="80"/>
      <c r="G27" s="80"/>
      <c r="H27" s="80"/>
      <c r="I27" s="26"/>
      <c r="J27" s="32"/>
      <c r="K27" s="33"/>
      <c r="L27" s="35"/>
    </row>
    <row r="28" spans="1:12" ht="30" customHeight="1" x14ac:dyDescent="0.25">
      <c r="A28" s="23" t="s">
        <v>1</v>
      </c>
      <c r="B28" s="18"/>
      <c r="C28" s="84">
        <v>0.66666666666666663</v>
      </c>
      <c r="D28" s="84"/>
      <c r="E28" s="84"/>
      <c r="F28" s="84"/>
      <c r="G28" s="84">
        <v>0.66666666666666663</v>
      </c>
      <c r="H28" s="84"/>
      <c r="I28" s="19"/>
      <c r="J28" s="32"/>
      <c r="K28" s="33"/>
      <c r="L28" s="35"/>
    </row>
    <row r="29" spans="1:12" ht="30" customHeight="1" x14ac:dyDescent="0.25">
      <c r="A29" s="23" t="s">
        <v>2</v>
      </c>
      <c r="B29" s="24"/>
      <c r="C29" s="80" t="s">
        <v>16</v>
      </c>
      <c r="D29" s="80"/>
      <c r="E29" s="80"/>
      <c r="F29" s="80"/>
      <c r="G29" s="80" t="s">
        <v>16</v>
      </c>
      <c r="H29" s="80"/>
      <c r="I29" s="26"/>
      <c r="J29" s="32"/>
      <c r="K29" s="33"/>
      <c r="L29" s="35"/>
    </row>
    <row r="30" spans="1:12" ht="30" customHeight="1" x14ac:dyDescent="0.25">
      <c r="A30" s="23" t="s">
        <v>1</v>
      </c>
      <c r="B30" s="18"/>
      <c r="C30" s="84"/>
      <c r="D30" s="84"/>
      <c r="E30" s="84"/>
      <c r="F30" s="84"/>
      <c r="G30" s="84"/>
      <c r="H30" s="84"/>
      <c r="I30" s="19"/>
      <c r="J30" s="32"/>
      <c r="K30" s="33"/>
      <c r="L30" s="35"/>
    </row>
    <row r="31" spans="1:12" ht="30" customHeight="1" x14ac:dyDescent="0.25">
      <c r="A31" s="23" t="s">
        <v>2</v>
      </c>
      <c r="B31" s="25"/>
      <c r="C31" s="85"/>
      <c r="D31" s="85"/>
      <c r="E31" s="85"/>
      <c r="F31" s="85"/>
      <c r="G31" s="85"/>
      <c r="H31" s="85"/>
      <c r="I31" s="28"/>
      <c r="J31" s="32"/>
      <c r="K31" s="33"/>
      <c r="L31" s="12"/>
    </row>
  </sheetData>
  <mergeCells count="63">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s>
  <conditionalFormatting sqref="C3:H3">
    <cfRule type="expression" dxfId="57" priority="6" stopIfTrue="1">
      <formula>DAY(C3)&gt;8</formula>
    </cfRule>
  </conditionalFormatting>
  <conditionalFormatting sqref="C7:I8">
    <cfRule type="expression" dxfId="56" priority="5" stopIfTrue="1">
      <formula>AND(DAY(C7)&gt;=1,DAY(C7)&lt;=15)</formula>
    </cfRule>
  </conditionalFormatting>
  <conditionalFormatting sqref="C3:I8">
    <cfRule type="expression" dxfId="55" priority="7">
      <formula>VLOOKUP(DAY(C3),DiasTarefa,1,FALSE)=DAY(C3)</formula>
    </cfRule>
  </conditionalFormatting>
  <conditionalFormatting sqref="B13:I13 B15:I15 B17:I17 B19:I19 B21:I21 B23:I23 B25:I25 B27:I27 B29:I29 B31:I31">
    <cfRule type="expression" dxfId="54" priority="4">
      <formula>B13&lt;&gt;""</formula>
    </cfRule>
  </conditionalFormatting>
  <conditionalFormatting sqref="B12:I12 B14:I14 B16:I16 B18:I18 B20:I20 B22:I22 B24:I24 B26:I26 B28:I28 B30:I30">
    <cfRule type="expression" dxfId="53" priority="3">
      <formula>B12&lt;&gt;""</formula>
    </cfRule>
  </conditionalFormatting>
  <conditionalFormatting sqref="B13:I13 B15:I15 B17:I17 B19:I19 B21:I21 B23:I23 B25:I25 B27:I27 B29:I29">
    <cfRule type="expression" dxfId="52" priority="2">
      <formula>COLUMN(B13)&gt;=2</formula>
    </cfRule>
  </conditionalFormatting>
  <conditionalFormatting sqref="B12:I31">
    <cfRule type="expression" dxfId="51" priority="1">
      <formula>COLUMN(B12)&gt;2</formula>
    </cfRule>
  </conditionalFormatting>
  <dataValidations xWindow="282" yWindow="780" count="13">
    <dataValidation allowBlank="1" showInputMessage="1" showErrorMessage="1" prompt="O calendário de junho destaca automaticamente as entradas da lista de tarefas do mês. As fontes mais escuras são tarefas. As fontes mais claras são dias que pertencem ao mês anterior ou seguinte" sqref="B2" xr:uid="{00000000-0002-0000-0500-000000000000}"/>
    <dataValidation allowBlank="1" showInputMessage="1" showErrorMessage="1" prompt="O ano civil é atualizado automaticamente. Para alterar o ano, atualize a célula B1 na planilha de janeiro" sqref="B1" xr:uid="{00000000-0002-0000-0500-000001000000}"/>
    <dataValidation allowBlank="1" showInputMessage="1" showErrorMessage="1" prompt="Prepare um cronograma semanal e crie uma lista de tarefas nesta planilha. As tarefas são destacadas automaticamente no calendário mensal para o ano inserido em B1 na planilha de janeiro" sqref="A1" xr:uid="{00000000-0002-0000-0500-000002000000}"/>
    <dataValidation allowBlank="1" showInputMessage="1" showErrorMessage="1" prompt="Se esta célula não contiver o número 1, ela será um dia de um mês anterior. As células C3:I8 contêm datas do mês atual" sqref="C3" xr:uid="{00000000-0002-0000-0500-000003000000}"/>
    <dataValidation allowBlank="1" showInputMessage="1" showErrorMessage="1" prompt="Se esta linha contiver um número menor que o número ou a linha de números anterior, ela conterá datas para o próximo mês do calendário" sqref="C8" xr:uid="{00000000-0002-0000-0500-000004000000}"/>
    <dataValidation allowBlank="1" showInputMessage="1" showErrorMessage="1" prompt="Insira o horário nesta linha entre as colunas B e I" sqref="B12" xr:uid="{00000000-0002-0000-0500-000005000000}"/>
    <dataValidation allowBlank="1" showInputMessage="1" showErrorMessage="1" prompt="Insira a aula nesta linha entre as colunas B e I" sqref="B13" xr:uid="{00000000-0002-0000-0500-000006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500-000007000000}"/>
    <dataValidation allowBlank="1" showInputMessage="1" showErrorMessage="1" prompt="Insira os detalhes da tarefa nesta coluna, que corresponde ao dia da semana na coluna J e ao dia na coluna K para o mês do calendário à esquerda" sqref="L1" xr:uid="{00000000-0002-0000-0500-000008000000}"/>
    <dataValidation allowBlank="1" showInputMessage="1" showErrorMessage="1" prompt="Insira o dia do mês da tarefa nesta coluna, que corresponde ao dia da semana na coluna J. Essa data destacará a tarefa no calendário à esquerda" sqref="K1" xr:uid="{00000000-0002-0000-0500-000009000000}"/>
    <dataValidation allowBlank="1" showInputMessage="1" showErrorMessage="1" prompt="Os dias da semana estão nesta linha, de segunda a sexta" sqref="B11" xr:uid="{00000000-0002-0000-0500-00000A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500-00000B000000}"/>
    <dataValidation allowBlank="1" showInputMessage="1" showErrorMessage="1" prompt="As células C2:I2 contêm dias da semana" sqref="C2" xr:uid="{00000000-0002-0000-0500-00000C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fitToPage="1"/>
  </sheetPr>
  <dimension ref="A1:L31"/>
  <sheetViews>
    <sheetView showGridLines="0" zoomScaleNormal="100" zoomScalePageLayoutView="84" workbookViewId="0"/>
  </sheetViews>
  <sheetFormatPr defaultColWidth="8.625" defaultRowHeight="30" customHeight="1" x14ac:dyDescent="0.2"/>
  <cols>
    <col min="1" max="1" width="2.625" style="1" customWidth="1"/>
    <col min="2" max="2" width="20.625" style="12" customWidth="1"/>
    <col min="3" max="8" width="10.625" style="1" customWidth="1"/>
    <col min="9" max="9" width="20.625" style="1" customWidth="1"/>
    <col min="10" max="10" width="10.625" style="12" customWidth="1"/>
    <col min="11" max="11" width="10.625" style="2" customWidth="1"/>
    <col min="12" max="12" width="70.625" style="1" customWidth="1"/>
    <col min="13" max="13" width="2.625" customWidth="1"/>
  </cols>
  <sheetData>
    <row r="1" spans="1:12" ht="30" customHeight="1" x14ac:dyDescent="0.2">
      <c r="A1" s="12"/>
      <c r="B1" s="9">
        <f ca="1">AnoCivil</f>
        <v>2019</v>
      </c>
      <c r="J1" s="15" t="s">
        <v>0</v>
      </c>
      <c r="K1" s="15" t="s">
        <v>23</v>
      </c>
      <c r="L1" s="8" t="s">
        <v>24</v>
      </c>
    </row>
    <row r="2" spans="1:12" ht="30" customHeight="1" x14ac:dyDescent="0.25">
      <c r="A2" s="10"/>
      <c r="B2" s="20" t="s">
        <v>33</v>
      </c>
      <c r="C2" s="5" t="s">
        <v>12</v>
      </c>
      <c r="D2" s="5" t="s">
        <v>5</v>
      </c>
      <c r="E2" s="5" t="s">
        <v>17</v>
      </c>
      <c r="F2" s="5" t="s">
        <v>18</v>
      </c>
      <c r="G2" s="5" t="s">
        <v>19</v>
      </c>
      <c r="H2" s="5" t="s">
        <v>21</v>
      </c>
      <c r="I2" s="5" t="s">
        <v>22</v>
      </c>
      <c r="J2" s="32" t="s">
        <v>5</v>
      </c>
      <c r="K2" s="33"/>
      <c r="L2" s="35"/>
    </row>
    <row r="3" spans="1:12" ht="30" customHeight="1" x14ac:dyDescent="0.25">
      <c r="A3" s="10"/>
      <c r="C3" s="4">
        <f ca="1">IF(DAY(JulDom1)=1,JulDom1-6,JulDom1+1)</f>
        <v>43646</v>
      </c>
      <c r="D3" s="4">
        <f ca="1">IF(DAY(JulDom1)=1,JulDom1-5,JulDom1+2)</f>
        <v>43647</v>
      </c>
      <c r="E3" s="4">
        <f ca="1">IF(DAY(JulDom1)=1,JulDom1-4,JulDom1+3)</f>
        <v>43648</v>
      </c>
      <c r="F3" s="4">
        <f ca="1">IF(DAY(JulDom1)=1,JulDom1-3,JulDom1+4)</f>
        <v>43649</v>
      </c>
      <c r="G3" s="4">
        <f ca="1">IF(DAY(JulDom1)=1,JulDom1-2,JulDom1+5)</f>
        <v>43650</v>
      </c>
      <c r="H3" s="4">
        <f ca="1">IF(DAY(JulDom1)=1,JulDom1-1,JulDom1+6)</f>
        <v>43651</v>
      </c>
      <c r="I3" s="4">
        <f ca="1">IF(DAY(JulDom1)=1,JulDom1,JulDom1+7)</f>
        <v>43652</v>
      </c>
      <c r="J3" s="32"/>
      <c r="K3" s="33"/>
      <c r="L3" s="35"/>
    </row>
    <row r="4" spans="1:12" ht="30" customHeight="1" x14ac:dyDescent="0.25">
      <c r="A4" s="10"/>
      <c r="C4" s="4">
        <f ca="1">IF(DAY(JulDom1)=1,JulDom1+1,JulDom1+8)</f>
        <v>43653</v>
      </c>
      <c r="D4" s="4">
        <f ca="1">IF(DAY(JulDom1)=1,JulDom1+2,JulDom1+9)</f>
        <v>43654</v>
      </c>
      <c r="E4" s="4">
        <f ca="1">IF(DAY(JulDom1)=1,JulDom1+3,JulDom1+10)</f>
        <v>43655</v>
      </c>
      <c r="F4" s="4">
        <f ca="1">IF(DAY(JulDom1)=1,JulDom1+4,JulDom1+11)</f>
        <v>43656</v>
      </c>
      <c r="G4" s="4">
        <f ca="1">IF(DAY(JulDom1)=1,JulDom1+5,JulDom1+12)</f>
        <v>43657</v>
      </c>
      <c r="H4" s="4">
        <f ca="1">IF(DAY(JulDom1)=1,JulDom1+6,JulDom1+13)</f>
        <v>43658</v>
      </c>
      <c r="I4" s="4">
        <f ca="1">IF(DAY(JulDom1)=1,JulDom1+7,JulDom1+14)</f>
        <v>43659</v>
      </c>
      <c r="J4" s="32"/>
      <c r="K4" s="33"/>
      <c r="L4" s="35"/>
    </row>
    <row r="5" spans="1:12" ht="30" customHeight="1" x14ac:dyDescent="0.25">
      <c r="A5" s="10"/>
      <c r="C5" s="4">
        <f ca="1">IF(DAY(JulDom1)=1,JulDom1+8,JulDom1+15)</f>
        <v>43660</v>
      </c>
      <c r="D5" s="4">
        <f ca="1">IF(DAY(JulDom1)=1,JulDom1+9,JulDom1+16)</f>
        <v>43661</v>
      </c>
      <c r="E5" s="4">
        <f ca="1">IF(DAY(JulDom1)=1,JulDom1+10,JulDom1+17)</f>
        <v>43662</v>
      </c>
      <c r="F5" s="4">
        <f ca="1">IF(DAY(JulDom1)=1,JulDom1+11,JulDom1+18)</f>
        <v>43663</v>
      </c>
      <c r="G5" s="4">
        <f ca="1">IF(DAY(JulDom1)=1,JulDom1+12,JulDom1+19)</f>
        <v>43664</v>
      </c>
      <c r="H5" s="4">
        <f ca="1">IF(DAY(JulDom1)=1,JulDom1+13,JulDom1+20)</f>
        <v>43665</v>
      </c>
      <c r="I5" s="4">
        <f ca="1">IF(DAY(JulDom1)=1,JulDom1+14,JulDom1+21)</f>
        <v>43666</v>
      </c>
      <c r="J5" s="32"/>
      <c r="K5" s="33"/>
      <c r="L5" s="35"/>
    </row>
    <row r="6" spans="1:12" ht="30" customHeight="1" x14ac:dyDescent="0.25">
      <c r="A6" s="10"/>
      <c r="C6" s="4">
        <f ca="1">IF(DAY(JulDom1)=1,JulDom1+15,JulDom1+22)</f>
        <v>43667</v>
      </c>
      <c r="D6" s="4">
        <f ca="1">IF(DAY(JulDom1)=1,JulDom1+16,JulDom1+23)</f>
        <v>43668</v>
      </c>
      <c r="E6" s="4">
        <f ca="1">IF(DAY(JulDom1)=1,JulDom1+17,JulDom1+24)</f>
        <v>43669</v>
      </c>
      <c r="F6" s="4">
        <f ca="1">IF(DAY(JulDom1)=1,JulDom1+18,JulDom1+25)</f>
        <v>43670</v>
      </c>
      <c r="G6" s="4">
        <f ca="1">IF(DAY(JulDom1)=1,JulDom1+19,JulDom1+26)</f>
        <v>43671</v>
      </c>
      <c r="H6" s="4">
        <f ca="1">IF(DAY(JulDom1)=1,JulDom1+20,JulDom1+27)</f>
        <v>43672</v>
      </c>
      <c r="I6" s="4">
        <f ca="1">IF(DAY(JulDom1)=1,JulDom1+21,JulDom1+28)</f>
        <v>43673</v>
      </c>
      <c r="J6" s="32"/>
      <c r="K6" s="33"/>
      <c r="L6" s="35"/>
    </row>
    <row r="7" spans="1:12" ht="30" customHeight="1" x14ac:dyDescent="0.25">
      <c r="A7" s="10"/>
      <c r="C7" s="4">
        <f ca="1">IF(DAY(JulDom1)=1,JulDom1+22,JulDom1+29)</f>
        <v>43674</v>
      </c>
      <c r="D7" s="4">
        <f ca="1">IF(DAY(JulDom1)=1,JulDom1+23,JulDom1+30)</f>
        <v>43675</v>
      </c>
      <c r="E7" s="4">
        <f ca="1">IF(DAY(JulDom1)=1,JulDom1+24,JulDom1+31)</f>
        <v>43676</v>
      </c>
      <c r="F7" s="4">
        <f ca="1">IF(DAY(JulDom1)=1,JulDom1+25,JulDom1+32)</f>
        <v>43677</v>
      </c>
      <c r="G7" s="4">
        <f ca="1">IF(DAY(JulDom1)=1,JulDom1+26,JulDom1+33)</f>
        <v>43678</v>
      </c>
      <c r="H7" s="4">
        <f ca="1">IF(DAY(JulDom1)=1,JulDom1+27,JulDom1+34)</f>
        <v>43679</v>
      </c>
      <c r="I7" s="4">
        <f ca="1">IF(DAY(JulDom1)=1,JulDom1+28,JulDom1+35)</f>
        <v>43680</v>
      </c>
      <c r="J7" s="16"/>
      <c r="K7" s="14"/>
      <c r="L7" s="36"/>
    </row>
    <row r="8" spans="1:12" ht="30" customHeight="1" x14ac:dyDescent="0.25">
      <c r="A8" s="10"/>
      <c r="B8" s="13"/>
      <c r="C8" s="4">
        <f ca="1">IF(DAY(JulDom1)=1,JulDom1+29,JulDom1+36)</f>
        <v>43681</v>
      </c>
      <c r="D8" s="4">
        <f ca="1">IF(DAY(JulDom1)=1,JulDom1+30,JulDom1+37)</f>
        <v>43682</v>
      </c>
      <c r="E8" s="4">
        <f ca="1">IF(DAY(JulDom1)=1,JulDom1+31,JulDom1+38)</f>
        <v>43683</v>
      </c>
      <c r="F8" s="4">
        <f ca="1">IF(DAY(JulDom1)=1,JulDom1+32,JulDom1+39)</f>
        <v>43684</v>
      </c>
      <c r="G8" s="4">
        <f ca="1">IF(DAY(JulDom1)=1,JulDom1+33,JulDom1+40)</f>
        <v>43685</v>
      </c>
      <c r="H8" s="4">
        <f ca="1">IF(DAY(JulDom1)=1,JulDom1+34,JulDom1+41)</f>
        <v>43686</v>
      </c>
      <c r="I8" s="4">
        <f ca="1">IF(DAY(JulDom1)=1,JulDom1+35,JulDom1+42)</f>
        <v>43687</v>
      </c>
      <c r="J8" s="32" t="s">
        <v>17</v>
      </c>
      <c r="K8" s="17"/>
      <c r="L8" s="35"/>
    </row>
    <row r="9" spans="1:12" ht="30" customHeight="1" x14ac:dyDescent="0.25">
      <c r="A9" s="10"/>
      <c r="C9" s="3"/>
      <c r="D9" s="3"/>
      <c r="E9" s="3"/>
      <c r="F9" s="3"/>
      <c r="G9" s="3"/>
      <c r="H9" s="3"/>
      <c r="I9" s="3"/>
      <c r="J9" s="32"/>
      <c r="K9" s="33"/>
      <c r="L9" s="35"/>
    </row>
    <row r="10" spans="1:12" ht="30" customHeight="1" x14ac:dyDescent="0.25">
      <c r="A10" s="10"/>
      <c r="B10" s="11" t="s">
        <v>4</v>
      </c>
      <c r="C10" s="6"/>
      <c r="D10" s="6"/>
      <c r="E10" s="6"/>
      <c r="F10" s="6"/>
      <c r="G10" s="6"/>
      <c r="H10" s="6"/>
      <c r="I10" s="6"/>
      <c r="J10" s="32"/>
      <c r="K10" s="33"/>
      <c r="L10" s="35"/>
    </row>
    <row r="11" spans="1:12" ht="30" customHeight="1" x14ac:dyDescent="0.25">
      <c r="A11" s="23" t="s">
        <v>0</v>
      </c>
      <c r="B11" s="22" t="s">
        <v>5</v>
      </c>
      <c r="C11" s="82" t="s">
        <v>13</v>
      </c>
      <c r="D11" s="83"/>
      <c r="E11" s="82" t="s">
        <v>18</v>
      </c>
      <c r="F11" s="83"/>
      <c r="G11" s="82" t="s">
        <v>20</v>
      </c>
      <c r="H11" s="83"/>
      <c r="I11" s="31" t="s">
        <v>21</v>
      </c>
      <c r="J11" s="32"/>
      <c r="K11" s="33"/>
      <c r="L11" s="35"/>
    </row>
    <row r="12" spans="1:12" ht="30" customHeight="1" x14ac:dyDescent="0.25">
      <c r="A12" s="23" t="s">
        <v>1</v>
      </c>
      <c r="B12" s="18" t="s">
        <v>6</v>
      </c>
      <c r="C12" s="84"/>
      <c r="D12" s="84"/>
      <c r="E12" s="84" t="s">
        <v>6</v>
      </c>
      <c r="F12" s="84"/>
      <c r="G12" s="84"/>
      <c r="H12" s="84"/>
      <c r="I12" s="19" t="s">
        <v>6</v>
      </c>
      <c r="J12" s="32"/>
      <c r="K12" s="33"/>
      <c r="L12" s="35"/>
    </row>
    <row r="13" spans="1:12" ht="30" customHeight="1" x14ac:dyDescent="0.25">
      <c r="A13" s="23" t="s">
        <v>2</v>
      </c>
      <c r="B13" s="24" t="s">
        <v>7</v>
      </c>
      <c r="C13" s="80"/>
      <c r="D13" s="80"/>
      <c r="E13" s="80" t="s">
        <v>7</v>
      </c>
      <c r="F13" s="80"/>
      <c r="G13" s="80"/>
      <c r="H13" s="80"/>
      <c r="I13" s="26" t="s">
        <v>7</v>
      </c>
      <c r="J13" s="16"/>
      <c r="K13" s="14"/>
      <c r="L13" s="36"/>
    </row>
    <row r="14" spans="1:12" ht="30" customHeight="1" x14ac:dyDescent="0.25">
      <c r="A14" s="23" t="s">
        <v>1</v>
      </c>
      <c r="B14" s="18"/>
      <c r="C14" s="84" t="s">
        <v>14</v>
      </c>
      <c r="D14" s="84"/>
      <c r="E14" s="84"/>
      <c r="F14" s="84"/>
      <c r="G14" s="84" t="s">
        <v>14</v>
      </c>
      <c r="H14" s="84"/>
      <c r="I14" s="19"/>
      <c r="J14" s="32" t="s">
        <v>18</v>
      </c>
      <c r="K14" s="17"/>
      <c r="L14" s="35"/>
    </row>
    <row r="15" spans="1:12" ht="30" customHeight="1" x14ac:dyDescent="0.25">
      <c r="A15" s="23" t="s">
        <v>2</v>
      </c>
      <c r="B15" s="24"/>
      <c r="C15" s="80" t="s">
        <v>15</v>
      </c>
      <c r="D15" s="80"/>
      <c r="E15" s="80"/>
      <c r="F15" s="80"/>
      <c r="G15" s="80" t="s">
        <v>15</v>
      </c>
      <c r="H15" s="80"/>
      <c r="I15" s="26"/>
      <c r="J15" s="32"/>
      <c r="K15" s="33"/>
      <c r="L15" s="35"/>
    </row>
    <row r="16" spans="1:12" ht="30" customHeight="1" x14ac:dyDescent="0.25">
      <c r="A16" s="23" t="s">
        <v>1</v>
      </c>
      <c r="B16" s="18" t="s">
        <v>8</v>
      </c>
      <c r="C16" s="84"/>
      <c r="D16" s="84"/>
      <c r="E16" s="84" t="s">
        <v>8</v>
      </c>
      <c r="F16" s="84"/>
      <c r="G16" s="84"/>
      <c r="H16" s="84"/>
      <c r="I16" s="21" t="s">
        <v>8</v>
      </c>
      <c r="J16" s="32"/>
      <c r="K16" s="33"/>
      <c r="L16" s="35"/>
    </row>
    <row r="17" spans="1:12" ht="30" customHeight="1" x14ac:dyDescent="0.25">
      <c r="A17" s="23" t="s">
        <v>2</v>
      </c>
      <c r="B17" s="24" t="s">
        <v>9</v>
      </c>
      <c r="C17" s="80"/>
      <c r="D17" s="80"/>
      <c r="E17" s="80" t="s">
        <v>9</v>
      </c>
      <c r="F17" s="80"/>
      <c r="G17" s="80"/>
      <c r="H17" s="80"/>
      <c r="I17" s="26" t="s">
        <v>9</v>
      </c>
      <c r="J17" s="32"/>
      <c r="K17" s="33"/>
      <c r="L17" s="35"/>
    </row>
    <row r="18" spans="1:12" ht="30" customHeight="1" x14ac:dyDescent="0.25">
      <c r="A18" s="23" t="s">
        <v>1</v>
      </c>
      <c r="B18" s="18"/>
      <c r="C18" s="84"/>
      <c r="D18" s="84"/>
      <c r="E18" s="84"/>
      <c r="F18" s="84"/>
      <c r="G18" s="84"/>
      <c r="H18" s="84"/>
      <c r="I18" s="19"/>
      <c r="J18" s="32"/>
      <c r="K18" s="33"/>
      <c r="L18" s="35"/>
    </row>
    <row r="19" spans="1:12" ht="30" customHeight="1" x14ac:dyDescent="0.25">
      <c r="A19" s="23" t="s">
        <v>2</v>
      </c>
      <c r="B19" s="24"/>
      <c r="C19" s="80"/>
      <c r="D19" s="80"/>
      <c r="E19" s="80"/>
      <c r="F19" s="80"/>
      <c r="G19" s="80"/>
      <c r="H19" s="80"/>
      <c r="I19" s="39"/>
      <c r="J19" s="16"/>
      <c r="K19" s="14"/>
      <c r="L19" s="37"/>
    </row>
    <row r="20" spans="1:12" ht="30" customHeight="1" x14ac:dyDescent="0.25">
      <c r="A20" s="23" t="s">
        <v>1</v>
      </c>
      <c r="B20" s="18"/>
      <c r="C20" s="84"/>
      <c r="D20" s="84"/>
      <c r="E20" s="84"/>
      <c r="F20" s="84"/>
      <c r="G20" s="84"/>
      <c r="H20" s="84"/>
      <c r="I20" s="19"/>
      <c r="J20" s="32" t="s">
        <v>19</v>
      </c>
      <c r="K20" s="17"/>
      <c r="L20" s="35"/>
    </row>
    <row r="21" spans="1:12" ht="30" customHeight="1" x14ac:dyDescent="0.25">
      <c r="A21" s="23" t="s">
        <v>2</v>
      </c>
      <c r="B21" s="24"/>
      <c r="C21" s="80"/>
      <c r="D21" s="80"/>
      <c r="E21" s="80"/>
      <c r="F21" s="80"/>
      <c r="G21" s="80"/>
      <c r="H21" s="80"/>
      <c r="I21" s="26"/>
      <c r="J21" s="32"/>
      <c r="K21" s="33"/>
      <c r="L21" s="35"/>
    </row>
    <row r="22" spans="1:12" ht="30" customHeight="1" x14ac:dyDescent="0.25">
      <c r="A22" s="23" t="s">
        <v>1</v>
      </c>
      <c r="B22" s="18"/>
      <c r="C22" s="84"/>
      <c r="D22" s="84"/>
      <c r="E22" s="84"/>
      <c r="F22" s="84"/>
      <c r="G22" s="84"/>
      <c r="H22" s="84"/>
      <c r="I22" s="19"/>
      <c r="J22" s="32"/>
      <c r="K22" s="33"/>
      <c r="L22" s="35"/>
    </row>
    <row r="23" spans="1:12" ht="30" customHeight="1" x14ac:dyDescent="0.25">
      <c r="A23" s="23" t="s">
        <v>2</v>
      </c>
      <c r="B23" s="24"/>
      <c r="C23" s="80"/>
      <c r="D23" s="80"/>
      <c r="E23" s="80"/>
      <c r="F23" s="80"/>
      <c r="G23" s="80"/>
      <c r="H23" s="80"/>
      <c r="I23" s="26"/>
      <c r="J23" s="32"/>
      <c r="K23" s="33"/>
      <c r="L23" s="35"/>
    </row>
    <row r="24" spans="1:12" ht="30" customHeight="1" x14ac:dyDescent="0.25">
      <c r="A24" s="23" t="s">
        <v>1</v>
      </c>
      <c r="B24" s="18">
        <v>0.58333333333333337</v>
      </c>
      <c r="C24" s="84"/>
      <c r="D24" s="84"/>
      <c r="E24" s="84">
        <v>0.58333333333333337</v>
      </c>
      <c r="F24" s="84"/>
      <c r="G24" s="84"/>
      <c r="H24" s="84"/>
      <c r="I24" s="19">
        <v>0.58333333333333337</v>
      </c>
      <c r="J24" s="32"/>
      <c r="K24" s="33"/>
      <c r="L24" s="35"/>
    </row>
    <row r="25" spans="1:12" ht="30" customHeight="1" x14ac:dyDescent="0.25">
      <c r="A25" s="23" t="s">
        <v>2</v>
      </c>
      <c r="B25" s="24" t="s">
        <v>10</v>
      </c>
      <c r="C25" s="80"/>
      <c r="D25" s="80"/>
      <c r="E25" s="80" t="s">
        <v>10</v>
      </c>
      <c r="F25" s="80"/>
      <c r="G25" s="80"/>
      <c r="H25" s="80"/>
      <c r="I25" s="26" t="s">
        <v>10</v>
      </c>
      <c r="J25" s="16"/>
      <c r="K25" s="14"/>
      <c r="L25" s="37"/>
    </row>
    <row r="26" spans="1:12" ht="30" customHeight="1" x14ac:dyDescent="0.25">
      <c r="A26" s="23" t="s">
        <v>1</v>
      </c>
      <c r="B26" s="18"/>
      <c r="C26" s="84"/>
      <c r="D26" s="84"/>
      <c r="E26" s="84"/>
      <c r="F26" s="84"/>
      <c r="G26" s="84"/>
      <c r="H26" s="84"/>
      <c r="I26" s="19"/>
      <c r="J26" s="32" t="s">
        <v>21</v>
      </c>
      <c r="K26" s="17"/>
      <c r="L26" s="35"/>
    </row>
    <row r="27" spans="1:12" ht="30" customHeight="1" x14ac:dyDescent="0.25">
      <c r="A27" s="23" t="s">
        <v>2</v>
      </c>
      <c r="B27" s="24"/>
      <c r="C27" s="80"/>
      <c r="D27" s="80"/>
      <c r="E27" s="80"/>
      <c r="F27" s="80"/>
      <c r="G27" s="80"/>
      <c r="H27" s="80"/>
      <c r="I27" s="26"/>
      <c r="J27" s="32"/>
      <c r="K27" s="33"/>
      <c r="L27" s="35"/>
    </row>
    <row r="28" spans="1:12" ht="30" customHeight="1" x14ac:dyDescent="0.25">
      <c r="A28" s="23" t="s">
        <v>1</v>
      </c>
      <c r="B28" s="18"/>
      <c r="C28" s="84">
        <v>0.66666666666666663</v>
      </c>
      <c r="D28" s="84"/>
      <c r="E28" s="84"/>
      <c r="F28" s="84"/>
      <c r="G28" s="84">
        <v>0.66666666666666663</v>
      </c>
      <c r="H28" s="84"/>
      <c r="I28" s="19"/>
      <c r="J28" s="32"/>
      <c r="K28" s="33"/>
      <c r="L28" s="35"/>
    </row>
    <row r="29" spans="1:12" ht="30" customHeight="1" x14ac:dyDescent="0.25">
      <c r="A29" s="23" t="s">
        <v>2</v>
      </c>
      <c r="B29" s="24"/>
      <c r="C29" s="80" t="s">
        <v>16</v>
      </c>
      <c r="D29" s="80"/>
      <c r="E29" s="80"/>
      <c r="F29" s="80"/>
      <c r="G29" s="80" t="s">
        <v>16</v>
      </c>
      <c r="H29" s="80"/>
      <c r="I29" s="26"/>
      <c r="J29" s="32"/>
      <c r="K29" s="33"/>
      <c r="L29" s="35"/>
    </row>
    <row r="30" spans="1:12" ht="30" customHeight="1" x14ac:dyDescent="0.25">
      <c r="A30" s="23" t="s">
        <v>1</v>
      </c>
      <c r="B30" s="18"/>
      <c r="C30" s="84"/>
      <c r="D30" s="84"/>
      <c r="E30" s="84"/>
      <c r="F30" s="84"/>
      <c r="G30" s="84"/>
      <c r="H30" s="84"/>
      <c r="I30" s="19"/>
      <c r="J30" s="32"/>
      <c r="K30" s="33"/>
      <c r="L30" s="35"/>
    </row>
    <row r="31" spans="1:12" ht="30" customHeight="1" x14ac:dyDescent="0.25">
      <c r="A31" s="23" t="s">
        <v>2</v>
      </c>
      <c r="B31" s="25"/>
      <c r="C31" s="85"/>
      <c r="D31" s="85"/>
      <c r="E31" s="85"/>
      <c r="F31" s="85"/>
      <c r="G31" s="85"/>
      <c r="H31" s="85"/>
      <c r="I31" s="28"/>
      <c r="J31" s="32"/>
      <c r="K31" s="33"/>
      <c r="L31" s="12"/>
    </row>
  </sheetData>
  <mergeCells count="63">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s>
  <conditionalFormatting sqref="C3:H3">
    <cfRule type="expression" dxfId="49" priority="6" stopIfTrue="1">
      <formula>DAY(C3)&gt;8</formula>
    </cfRule>
  </conditionalFormatting>
  <conditionalFormatting sqref="C7:I8">
    <cfRule type="expression" dxfId="48" priority="5" stopIfTrue="1">
      <formula>AND(DAY(C7)&gt;=1,DAY(C7)&lt;=15)</formula>
    </cfRule>
  </conditionalFormatting>
  <conditionalFormatting sqref="C3:I8">
    <cfRule type="expression" dxfId="47" priority="7">
      <formula>VLOOKUP(DAY(C3),DiasTarefa,1,FALSE)=DAY(C3)</formula>
    </cfRule>
  </conditionalFormatting>
  <conditionalFormatting sqref="B12:I12 B14:I14 B16:I16 B18:I18 B20:I20 B22:I22 B24:I24 B26:I26 B28:I28 B30:I30">
    <cfRule type="expression" dxfId="46" priority="4">
      <formula>B12&lt;&gt;""</formula>
    </cfRule>
  </conditionalFormatting>
  <conditionalFormatting sqref="B13:I13 B15:I15 B17:I17 B19:I19 B21:I21 B23:I23 B25:I25 B27:I27 B29:I29 B31:I31">
    <cfRule type="expression" dxfId="45" priority="3">
      <formula>B13&lt;&gt;""</formula>
    </cfRule>
  </conditionalFormatting>
  <conditionalFormatting sqref="B13:I13 B15:I15 B17:I17 B19:I19 B21:I21 B23:I23 B25:I25 B27:I27 B29:I29">
    <cfRule type="expression" dxfId="44" priority="2">
      <formula>COLUMN(B13)&gt;=2</formula>
    </cfRule>
  </conditionalFormatting>
  <conditionalFormatting sqref="B12:I31">
    <cfRule type="expression" dxfId="43" priority="1">
      <formula>COLUMN(B12)&gt;2</formula>
    </cfRule>
  </conditionalFormatting>
  <dataValidations xWindow="239" yWindow="583" count="13">
    <dataValidation allowBlank="1" showInputMessage="1" showErrorMessage="1" prompt="Insira a aula nesta linha entre as colunas B e I" sqref="B13" xr:uid="{00000000-0002-0000-0600-000000000000}"/>
    <dataValidation allowBlank="1" showInputMessage="1" showErrorMessage="1" prompt="Insira o horário nesta linha entre as colunas B e I" sqref="B12" xr:uid="{00000000-0002-0000-0600-000001000000}"/>
    <dataValidation allowBlank="1" showInputMessage="1" showErrorMessage="1" prompt="Se esta linha contiver um número menor que o número ou a linha de números anterior, ela conterá datas para o próximo mês do calendário" sqref="C8" xr:uid="{00000000-0002-0000-0600-000002000000}"/>
    <dataValidation allowBlank="1" showInputMessage="1" showErrorMessage="1" prompt="Se esta célula não contiver o número 1, ela será um dia de um mês anterior. As células C3:I8 contêm datas do mês atual" sqref="C3" xr:uid="{00000000-0002-0000-0600-000003000000}"/>
    <dataValidation allowBlank="1" showInputMessage="1" showErrorMessage="1" prompt="Prepare um cronograma semanal e crie uma lista de tarefas nesta planilha. As tarefas são destacadas automaticamente no calendário mensal para o ano inserido em B1 na planilha de janeiro" sqref="A1" xr:uid="{00000000-0002-0000-0600-000004000000}"/>
    <dataValidation allowBlank="1" showInputMessage="1" showErrorMessage="1" prompt="O ano civil é atualizado automaticamente. Para alterar o ano, atualize a célula B1 na planilha de janeiro" sqref="B1" xr:uid="{00000000-0002-0000-0600-000005000000}"/>
    <dataValidation allowBlank="1" showInputMessage="1" showErrorMessage="1" prompt="O calendário de julho destaca automaticamente as entradas da lista de tarefas do mês. As fontes mais escuras são tarefas. As fontes mais claras são dias que pertencem ao mês anterior ou seguinte" sqref="B2" xr:uid="{00000000-0002-0000-0600-000006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600-000007000000}"/>
    <dataValidation allowBlank="1" showInputMessage="1" showErrorMessage="1" prompt="Insira os detalhes da tarefa nesta coluna, que corresponde ao dia da semana na coluna J e ao dia na coluna K para o mês do calendário à esquerda" sqref="L1" xr:uid="{00000000-0002-0000-0600-000008000000}"/>
    <dataValidation allowBlank="1" showInputMessage="1" showErrorMessage="1" prompt="Insira o dia do mês da tarefa nesta coluna, que corresponde ao dia da semana na coluna J. Essa data destacará a tarefa no calendário à esquerda" sqref="K1" xr:uid="{00000000-0002-0000-0600-000009000000}"/>
    <dataValidation allowBlank="1" showInputMessage="1" showErrorMessage="1" prompt="Os dias da semana estão nesta linha, de segunda a sexta" sqref="B11" xr:uid="{00000000-0002-0000-0600-00000A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600-00000B000000}"/>
    <dataValidation allowBlank="1" showInputMessage="1" showErrorMessage="1" prompt="As células C2:I2 contêm dias da semana" sqref="C2" xr:uid="{00000000-0002-0000-0600-00000C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fitToPage="1"/>
  </sheetPr>
  <dimension ref="A1:L31"/>
  <sheetViews>
    <sheetView showGridLines="0" zoomScaleNormal="100" zoomScalePageLayoutView="84" workbookViewId="0"/>
  </sheetViews>
  <sheetFormatPr defaultColWidth="8.625" defaultRowHeight="30" customHeight="1" x14ac:dyDescent="0.2"/>
  <cols>
    <col min="1" max="1" width="2.625" style="1" customWidth="1"/>
    <col min="2" max="2" width="20.625" style="12" customWidth="1"/>
    <col min="3" max="8" width="10.625" style="1" customWidth="1"/>
    <col min="9" max="9" width="20.625" style="1" customWidth="1"/>
    <col min="10" max="10" width="10.625" style="12" customWidth="1"/>
    <col min="11" max="11" width="10.625" style="2" customWidth="1"/>
    <col min="12" max="12" width="70.625" style="1" customWidth="1"/>
    <col min="13" max="13" width="2.625" customWidth="1"/>
  </cols>
  <sheetData>
    <row r="1" spans="1:12" ht="30" customHeight="1" x14ac:dyDescent="0.2">
      <c r="A1" s="12"/>
      <c r="B1" s="9">
        <f ca="1">AnoCivil</f>
        <v>2019</v>
      </c>
      <c r="J1" s="15" t="s">
        <v>0</v>
      </c>
      <c r="K1" s="15" t="s">
        <v>23</v>
      </c>
      <c r="L1" s="8" t="s">
        <v>24</v>
      </c>
    </row>
    <row r="2" spans="1:12" ht="30" customHeight="1" x14ac:dyDescent="0.25">
      <c r="A2" s="10"/>
      <c r="B2" s="20" t="s">
        <v>34</v>
      </c>
      <c r="C2" s="5" t="s">
        <v>12</v>
      </c>
      <c r="D2" s="5" t="s">
        <v>5</v>
      </c>
      <c r="E2" s="5" t="s">
        <v>17</v>
      </c>
      <c r="F2" s="5" t="s">
        <v>18</v>
      </c>
      <c r="G2" s="5" t="s">
        <v>19</v>
      </c>
      <c r="H2" s="5" t="s">
        <v>21</v>
      </c>
      <c r="I2" s="5" t="s">
        <v>22</v>
      </c>
      <c r="J2" s="32" t="s">
        <v>5</v>
      </c>
      <c r="K2" s="33"/>
      <c r="L2" s="35"/>
    </row>
    <row r="3" spans="1:12" ht="30" customHeight="1" x14ac:dyDescent="0.25">
      <c r="A3" s="10"/>
      <c r="C3" s="4">
        <f ca="1">IF(DAY(AgoDom1)=1,AgoDom1-6,AgoDom1+1)</f>
        <v>43674</v>
      </c>
      <c r="D3" s="4">
        <f ca="1">IF(DAY(AgoDom1)=1,AgoDom1-5,AgoDom1+2)</f>
        <v>43675</v>
      </c>
      <c r="E3" s="4">
        <f ca="1">IF(DAY(AgoDom1)=1,AgoDom1-4,AgoDom1+3)</f>
        <v>43676</v>
      </c>
      <c r="F3" s="4">
        <f ca="1">IF(DAY(AgoDom1)=1,AgoDom1-3,AgoDom1+4)</f>
        <v>43677</v>
      </c>
      <c r="G3" s="4">
        <f ca="1">IF(DAY(AgoDom1)=1,AgoDom1-2,AgoDom1+5)</f>
        <v>43678</v>
      </c>
      <c r="H3" s="4">
        <f ca="1">IF(DAY(AgoDom1)=1,AgoDom1-1,AgoDom1+6)</f>
        <v>43679</v>
      </c>
      <c r="I3" s="4">
        <f ca="1">IF(DAY(AgoDom1)=1,AgoDom1,AgoDom1+7)</f>
        <v>43680</v>
      </c>
      <c r="J3" s="32"/>
      <c r="K3" s="33"/>
      <c r="L3" s="35"/>
    </row>
    <row r="4" spans="1:12" ht="30" customHeight="1" x14ac:dyDescent="0.25">
      <c r="A4" s="10"/>
      <c r="C4" s="4">
        <f ca="1">IF(DAY(AgoDom1)=1,AgoDom1+1,AgoDom1+8)</f>
        <v>43681</v>
      </c>
      <c r="D4" s="4">
        <f ca="1">IF(DAY(AgoDom1)=1,AgoDom1+2,AgoDom1+9)</f>
        <v>43682</v>
      </c>
      <c r="E4" s="4">
        <f ca="1">IF(DAY(AgoDom1)=1,AgoDom1+3,AgoDom1+10)</f>
        <v>43683</v>
      </c>
      <c r="F4" s="4">
        <f ca="1">IF(DAY(AgoDom1)=1,AgoDom1+4,AgoDom1+11)</f>
        <v>43684</v>
      </c>
      <c r="G4" s="4">
        <f ca="1">IF(DAY(AgoDom1)=1,AgoDom1+5,AgoDom1+12)</f>
        <v>43685</v>
      </c>
      <c r="H4" s="4">
        <f ca="1">IF(DAY(AgoDom1)=1,AgoDom1+6,AgoDom1+13)</f>
        <v>43686</v>
      </c>
      <c r="I4" s="4">
        <f ca="1">IF(DAY(AgoDom1)=1,AgoDom1+7,AgoDom1+14)</f>
        <v>43687</v>
      </c>
      <c r="J4" s="32"/>
      <c r="K4" s="33"/>
      <c r="L4" s="35"/>
    </row>
    <row r="5" spans="1:12" ht="30" customHeight="1" x14ac:dyDescent="0.25">
      <c r="A5" s="10"/>
      <c r="C5" s="4">
        <f ca="1">IF(DAY(AgoDom1)=1,AgoDom1+8,AgoDom1+15)</f>
        <v>43688</v>
      </c>
      <c r="D5" s="4">
        <f ca="1">IF(DAY(AgoDom1)=1,AgoDom1+9,AgoDom1+16)</f>
        <v>43689</v>
      </c>
      <c r="E5" s="4">
        <f ca="1">IF(DAY(AgoDom1)=1,AgoDom1+10,AgoDom1+17)</f>
        <v>43690</v>
      </c>
      <c r="F5" s="4">
        <f ca="1">IF(DAY(AgoDom1)=1,AgoDom1+11,AgoDom1+18)</f>
        <v>43691</v>
      </c>
      <c r="G5" s="4">
        <f ca="1">IF(DAY(AgoDom1)=1,AgoDom1+12,AgoDom1+19)</f>
        <v>43692</v>
      </c>
      <c r="H5" s="4">
        <f ca="1">IF(DAY(AgoDom1)=1,AgoDom1+13,AgoDom1+20)</f>
        <v>43693</v>
      </c>
      <c r="I5" s="4">
        <f ca="1">IF(DAY(AgoDom1)=1,AgoDom1+14,AgoDom1+21)</f>
        <v>43694</v>
      </c>
      <c r="J5" s="32"/>
      <c r="K5" s="33"/>
      <c r="L5" s="35"/>
    </row>
    <row r="6" spans="1:12" ht="30" customHeight="1" x14ac:dyDescent="0.25">
      <c r="A6" s="10"/>
      <c r="C6" s="4">
        <f ca="1">IF(DAY(AgoDom1)=1,AgoDom1+15,AgoDom1+22)</f>
        <v>43695</v>
      </c>
      <c r="D6" s="4">
        <f ca="1">IF(DAY(AgoDom1)=1,AgoDom1+16,AgoDom1+23)</f>
        <v>43696</v>
      </c>
      <c r="E6" s="4">
        <f ca="1">IF(DAY(AgoDom1)=1,AgoDom1+17,AgoDom1+24)</f>
        <v>43697</v>
      </c>
      <c r="F6" s="4">
        <f ca="1">IF(DAY(AgoDom1)=1,AgoDom1+18,AgoDom1+25)</f>
        <v>43698</v>
      </c>
      <c r="G6" s="4">
        <f ca="1">IF(DAY(AgoDom1)=1,AgoDom1+19,AgoDom1+26)</f>
        <v>43699</v>
      </c>
      <c r="H6" s="4">
        <f ca="1">IF(DAY(AgoDom1)=1,AgoDom1+20,AgoDom1+27)</f>
        <v>43700</v>
      </c>
      <c r="I6" s="4">
        <f ca="1">IF(DAY(AgoDom1)=1,AgoDom1+21,AgoDom1+28)</f>
        <v>43701</v>
      </c>
      <c r="J6" s="32"/>
      <c r="K6" s="33"/>
      <c r="L6" s="35"/>
    </row>
    <row r="7" spans="1:12" ht="30" customHeight="1" x14ac:dyDescent="0.25">
      <c r="A7" s="10"/>
      <c r="C7" s="4">
        <f ca="1">IF(DAY(AgoDom1)=1,AgoDom1+22,AgoDom1+29)</f>
        <v>43702</v>
      </c>
      <c r="D7" s="4">
        <f ca="1">IF(DAY(AgoDom1)=1,AgoDom1+23,AgoDom1+30)</f>
        <v>43703</v>
      </c>
      <c r="E7" s="4">
        <f ca="1">IF(DAY(AgoDom1)=1,AgoDom1+24,AgoDom1+31)</f>
        <v>43704</v>
      </c>
      <c r="F7" s="4">
        <f ca="1">IF(DAY(AgoDom1)=1,AgoDom1+25,AgoDom1+32)</f>
        <v>43705</v>
      </c>
      <c r="G7" s="4">
        <f ca="1">IF(DAY(AgoDom1)=1,AgoDom1+26,AgoDom1+33)</f>
        <v>43706</v>
      </c>
      <c r="H7" s="4">
        <f ca="1">IF(DAY(AgoDom1)=1,AgoDom1+27,AgoDom1+34)</f>
        <v>43707</v>
      </c>
      <c r="I7" s="4">
        <f ca="1">IF(DAY(AgoDom1)=1,AgoDom1+28,AgoDom1+35)</f>
        <v>43708</v>
      </c>
      <c r="J7" s="16"/>
      <c r="K7" s="14"/>
      <c r="L7" s="36"/>
    </row>
    <row r="8" spans="1:12" ht="30" customHeight="1" x14ac:dyDescent="0.25">
      <c r="A8" s="10"/>
      <c r="B8" s="13"/>
      <c r="C8" s="4">
        <f ca="1">IF(DAY(AgoDom1)=1,AgoDom1+29,AgoDom1+36)</f>
        <v>43709</v>
      </c>
      <c r="D8" s="4">
        <f ca="1">IF(DAY(AgoDom1)=1,AgoDom1+30,AgoDom1+37)</f>
        <v>43710</v>
      </c>
      <c r="E8" s="4">
        <f ca="1">IF(DAY(AgoDom1)=1,AgoDom1+31,AgoDom1+38)</f>
        <v>43711</v>
      </c>
      <c r="F8" s="4">
        <f ca="1">IF(DAY(AgoDom1)=1,AgoDom1+32,AgoDom1+39)</f>
        <v>43712</v>
      </c>
      <c r="G8" s="4">
        <f ca="1">IF(DAY(AgoDom1)=1,AgoDom1+33,AgoDom1+40)</f>
        <v>43713</v>
      </c>
      <c r="H8" s="4">
        <f ca="1">IF(DAY(AgoDom1)=1,AgoDom1+34,AgoDom1+41)</f>
        <v>43714</v>
      </c>
      <c r="I8" s="4">
        <f ca="1">IF(DAY(AgoDom1)=1,AgoDom1+35,AgoDom1+42)</f>
        <v>43715</v>
      </c>
      <c r="J8" s="32" t="s">
        <v>17</v>
      </c>
      <c r="K8" s="17"/>
      <c r="L8" s="35"/>
    </row>
    <row r="9" spans="1:12" ht="30" customHeight="1" x14ac:dyDescent="0.25">
      <c r="A9" s="10"/>
      <c r="C9" s="3"/>
      <c r="D9" s="3"/>
      <c r="E9" s="3"/>
      <c r="F9" s="3"/>
      <c r="G9" s="3"/>
      <c r="H9" s="3"/>
      <c r="I9" s="3"/>
      <c r="J9" s="32"/>
      <c r="K9" s="33"/>
      <c r="L9" s="35"/>
    </row>
    <row r="10" spans="1:12" ht="30" customHeight="1" x14ac:dyDescent="0.25">
      <c r="A10" s="10"/>
      <c r="B10" s="11" t="s">
        <v>4</v>
      </c>
      <c r="C10" s="6"/>
      <c r="D10" s="6"/>
      <c r="E10" s="6"/>
      <c r="F10" s="6"/>
      <c r="G10" s="6"/>
      <c r="H10" s="6"/>
      <c r="I10" s="6"/>
      <c r="J10" s="32"/>
      <c r="K10" s="33"/>
      <c r="L10" s="35"/>
    </row>
    <row r="11" spans="1:12" ht="30" customHeight="1" x14ac:dyDescent="0.25">
      <c r="A11" s="23" t="s">
        <v>0</v>
      </c>
      <c r="B11" s="22" t="s">
        <v>5</v>
      </c>
      <c r="C11" s="82" t="s">
        <v>13</v>
      </c>
      <c r="D11" s="83"/>
      <c r="E11" s="82" t="s">
        <v>18</v>
      </c>
      <c r="F11" s="83"/>
      <c r="G11" s="82" t="s">
        <v>20</v>
      </c>
      <c r="H11" s="83"/>
      <c r="I11" s="31" t="s">
        <v>21</v>
      </c>
      <c r="J11" s="32"/>
      <c r="K11" s="33"/>
      <c r="L11" s="35"/>
    </row>
    <row r="12" spans="1:12" ht="30" customHeight="1" x14ac:dyDescent="0.25">
      <c r="A12" s="23" t="s">
        <v>1</v>
      </c>
      <c r="B12" s="18" t="s">
        <v>6</v>
      </c>
      <c r="C12" s="84"/>
      <c r="D12" s="84"/>
      <c r="E12" s="84" t="s">
        <v>6</v>
      </c>
      <c r="F12" s="84"/>
      <c r="G12" s="84"/>
      <c r="H12" s="84"/>
      <c r="I12" s="19" t="s">
        <v>6</v>
      </c>
      <c r="J12" s="32"/>
      <c r="K12" s="33"/>
      <c r="L12" s="35"/>
    </row>
    <row r="13" spans="1:12" ht="30" customHeight="1" x14ac:dyDescent="0.25">
      <c r="A13" s="23" t="s">
        <v>2</v>
      </c>
      <c r="B13" s="24" t="s">
        <v>7</v>
      </c>
      <c r="C13" s="80"/>
      <c r="D13" s="80"/>
      <c r="E13" s="80" t="s">
        <v>7</v>
      </c>
      <c r="F13" s="80"/>
      <c r="G13" s="80"/>
      <c r="H13" s="80"/>
      <c r="I13" s="26" t="s">
        <v>7</v>
      </c>
      <c r="J13" s="16"/>
      <c r="K13" s="14"/>
      <c r="L13" s="36"/>
    </row>
    <row r="14" spans="1:12" ht="30" customHeight="1" x14ac:dyDescent="0.25">
      <c r="A14" s="23" t="s">
        <v>1</v>
      </c>
      <c r="B14" s="18"/>
      <c r="C14" s="84" t="s">
        <v>14</v>
      </c>
      <c r="D14" s="84"/>
      <c r="E14" s="84"/>
      <c r="F14" s="84"/>
      <c r="G14" s="84" t="s">
        <v>14</v>
      </c>
      <c r="H14" s="84"/>
      <c r="I14" s="19"/>
      <c r="J14" s="32" t="s">
        <v>18</v>
      </c>
      <c r="K14" s="17"/>
      <c r="L14" s="35"/>
    </row>
    <row r="15" spans="1:12" ht="30" customHeight="1" x14ac:dyDescent="0.25">
      <c r="A15" s="23" t="s">
        <v>2</v>
      </c>
      <c r="B15" s="24"/>
      <c r="C15" s="80" t="s">
        <v>15</v>
      </c>
      <c r="D15" s="80"/>
      <c r="E15" s="80"/>
      <c r="F15" s="80"/>
      <c r="G15" s="80" t="s">
        <v>15</v>
      </c>
      <c r="H15" s="80"/>
      <c r="I15" s="26"/>
      <c r="J15" s="32"/>
      <c r="K15" s="33"/>
      <c r="L15" s="35"/>
    </row>
    <row r="16" spans="1:12" ht="30" customHeight="1" x14ac:dyDescent="0.25">
      <c r="A16" s="23" t="s">
        <v>1</v>
      </c>
      <c r="B16" s="18" t="s">
        <v>8</v>
      </c>
      <c r="C16" s="84"/>
      <c r="D16" s="84"/>
      <c r="E16" s="84" t="s">
        <v>8</v>
      </c>
      <c r="F16" s="84"/>
      <c r="G16" s="84"/>
      <c r="H16" s="84"/>
      <c r="I16" s="21" t="s">
        <v>8</v>
      </c>
      <c r="J16" s="32"/>
      <c r="K16" s="33"/>
      <c r="L16" s="35"/>
    </row>
    <row r="17" spans="1:12" ht="30" customHeight="1" x14ac:dyDescent="0.25">
      <c r="A17" s="23" t="s">
        <v>2</v>
      </c>
      <c r="B17" s="24" t="s">
        <v>9</v>
      </c>
      <c r="C17" s="80"/>
      <c r="D17" s="80"/>
      <c r="E17" s="80" t="s">
        <v>9</v>
      </c>
      <c r="F17" s="80"/>
      <c r="G17" s="80"/>
      <c r="H17" s="80"/>
      <c r="I17" s="26" t="s">
        <v>9</v>
      </c>
      <c r="J17" s="32"/>
      <c r="K17" s="33"/>
      <c r="L17" s="35"/>
    </row>
    <row r="18" spans="1:12" ht="30" customHeight="1" x14ac:dyDescent="0.25">
      <c r="A18" s="23" t="s">
        <v>1</v>
      </c>
      <c r="B18" s="18"/>
      <c r="C18" s="84"/>
      <c r="D18" s="84"/>
      <c r="E18" s="84"/>
      <c r="F18" s="84"/>
      <c r="G18" s="84"/>
      <c r="H18" s="84"/>
      <c r="I18" s="19"/>
      <c r="J18" s="32"/>
      <c r="K18" s="33"/>
      <c r="L18" s="35"/>
    </row>
    <row r="19" spans="1:12" ht="30" customHeight="1" x14ac:dyDescent="0.25">
      <c r="A19" s="23" t="s">
        <v>2</v>
      </c>
      <c r="B19" s="24"/>
      <c r="C19" s="80"/>
      <c r="D19" s="80"/>
      <c r="E19" s="80"/>
      <c r="F19" s="80"/>
      <c r="G19" s="80"/>
      <c r="H19" s="80"/>
      <c r="I19" s="39"/>
      <c r="J19" s="16"/>
      <c r="K19" s="14"/>
      <c r="L19" s="37"/>
    </row>
    <row r="20" spans="1:12" ht="30" customHeight="1" x14ac:dyDescent="0.25">
      <c r="A20" s="23" t="s">
        <v>1</v>
      </c>
      <c r="B20" s="18"/>
      <c r="C20" s="84"/>
      <c r="D20" s="84"/>
      <c r="E20" s="84"/>
      <c r="F20" s="84"/>
      <c r="G20" s="84"/>
      <c r="H20" s="84"/>
      <c r="I20" s="19"/>
      <c r="J20" s="32" t="s">
        <v>19</v>
      </c>
      <c r="K20" s="17"/>
      <c r="L20" s="35"/>
    </row>
    <row r="21" spans="1:12" ht="30" customHeight="1" x14ac:dyDescent="0.25">
      <c r="A21" s="23" t="s">
        <v>2</v>
      </c>
      <c r="B21" s="24"/>
      <c r="C21" s="80"/>
      <c r="D21" s="80"/>
      <c r="E21" s="80"/>
      <c r="F21" s="80"/>
      <c r="G21" s="80"/>
      <c r="H21" s="80"/>
      <c r="I21" s="26"/>
      <c r="J21" s="32"/>
      <c r="K21" s="33"/>
      <c r="L21" s="35"/>
    </row>
    <row r="22" spans="1:12" ht="30" customHeight="1" x14ac:dyDescent="0.25">
      <c r="A22" s="23" t="s">
        <v>1</v>
      </c>
      <c r="B22" s="18"/>
      <c r="C22" s="84"/>
      <c r="D22" s="84"/>
      <c r="E22" s="84"/>
      <c r="F22" s="84"/>
      <c r="G22" s="84"/>
      <c r="H22" s="84"/>
      <c r="I22" s="19"/>
      <c r="J22" s="32"/>
      <c r="K22" s="33"/>
      <c r="L22" s="35"/>
    </row>
    <row r="23" spans="1:12" ht="30" customHeight="1" x14ac:dyDescent="0.25">
      <c r="A23" s="23" t="s">
        <v>2</v>
      </c>
      <c r="B23" s="24"/>
      <c r="C23" s="80"/>
      <c r="D23" s="80"/>
      <c r="E23" s="80"/>
      <c r="F23" s="80"/>
      <c r="G23" s="80"/>
      <c r="H23" s="80"/>
      <c r="I23" s="26"/>
      <c r="J23" s="32"/>
      <c r="K23" s="33"/>
      <c r="L23" s="35"/>
    </row>
    <row r="24" spans="1:12" ht="30" customHeight="1" x14ac:dyDescent="0.25">
      <c r="A24" s="23" t="s">
        <v>1</v>
      </c>
      <c r="B24" s="18">
        <v>0.58333333333333337</v>
      </c>
      <c r="C24" s="84"/>
      <c r="D24" s="84"/>
      <c r="E24" s="84">
        <v>0.58333333333333337</v>
      </c>
      <c r="F24" s="84"/>
      <c r="G24" s="84"/>
      <c r="H24" s="84"/>
      <c r="I24" s="19">
        <v>0.58333333333333337</v>
      </c>
      <c r="J24" s="32"/>
      <c r="K24" s="33"/>
      <c r="L24" s="35"/>
    </row>
    <row r="25" spans="1:12" ht="30" customHeight="1" x14ac:dyDescent="0.25">
      <c r="A25" s="23" t="s">
        <v>2</v>
      </c>
      <c r="B25" s="24" t="s">
        <v>10</v>
      </c>
      <c r="C25" s="80"/>
      <c r="D25" s="80"/>
      <c r="E25" s="80" t="s">
        <v>10</v>
      </c>
      <c r="F25" s="80"/>
      <c r="G25" s="80"/>
      <c r="H25" s="80"/>
      <c r="I25" s="26" t="s">
        <v>10</v>
      </c>
      <c r="J25" s="16"/>
      <c r="K25" s="14"/>
      <c r="L25" s="37"/>
    </row>
    <row r="26" spans="1:12" ht="30" customHeight="1" x14ac:dyDescent="0.25">
      <c r="A26" s="23" t="s">
        <v>1</v>
      </c>
      <c r="B26" s="18"/>
      <c r="C26" s="84"/>
      <c r="D26" s="84"/>
      <c r="E26" s="84"/>
      <c r="F26" s="84"/>
      <c r="G26" s="84"/>
      <c r="H26" s="84"/>
      <c r="I26" s="19"/>
      <c r="J26" s="32" t="s">
        <v>21</v>
      </c>
      <c r="K26" s="17"/>
      <c r="L26" s="35"/>
    </row>
    <row r="27" spans="1:12" ht="30" customHeight="1" x14ac:dyDescent="0.25">
      <c r="A27" s="23" t="s">
        <v>2</v>
      </c>
      <c r="B27" s="24"/>
      <c r="C27" s="80"/>
      <c r="D27" s="80"/>
      <c r="E27" s="80"/>
      <c r="F27" s="80"/>
      <c r="G27" s="80"/>
      <c r="H27" s="80"/>
      <c r="I27" s="26"/>
      <c r="J27" s="32"/>
      <c r="K27" s="33"/>
      <c r="L27" s="35"/>
    </row>
    <row r="28" spans="1:12" ht="30" customHeight="1" x14ac:dyDescent="0.25">
      <c r="A28" s="23" t="s">
        <v>1</v>
      </c>
      <c r="B28" s="18"/>
      <c r="C28" s="84">
        <v>0.66666666666666663</v>
      </c>
      <c r="D28" s="84"/>
      <c r="E28" s="84"/>
      <c r="F28" s="84"/>
      <c r="G28" s="84">
        <v>0.66666666666666663</v>
      </c>
      <c r="H28" s="84"/>
      <c r="I28" s="19"/>
      <c r="J28" s="32"/>
      <c r="K28" s="33"/>
      <c r="L28" s="35"/>
    </row>
    <row r="29" spans="1:12" ht="30" customHeight="1" x14ac:dyDescent="0.25">
      <c r="A29" s="23" t="s">
        <v>2</v>
      </c>
      <c r="B29" s="24"/>
      <c r="C29" s="80" t="s">
        <v>16</v>
      </c>
      <c r="D29" s="80"/>
      <c r="E29" s="80"/>
      <c r="F29" s="80"/>
      <c r="G29" s="80" t="s">
        <v>16</v>
      </c>
      <c r="H29" s="80"/>
      <c r="I29" s="26"/>
      <c r="J29" s="32"/>
      <c r="K29" s="33"/>
      <c r="L29" s="35"/>
    </row>
    <row r="30" spans="1:12" ht="30" customHeight="1" x14ac:dyDescent="0.25">
      <c r="A30" s="23" t="s">
        <v>1</v>
      </c>
      <c r="B30" s="18"/>
      <c r="C30" s="84"/>
      <c r="D30" s="84"/>
      <c r="E30" s="84"/>
      <c r="F30" s="84"/>
      <c r="G30" s="84"/>
      <c r="H30" s="84"/>
      <c r="I30" s="19"/>
      <c r="J30" s="32"/>
      <c r="K30" s="33"/>
      <c r="L30" s="35"/>
    </row>
    <row r="31" spans="1:12" ht="30" customHeight="1" x14ac:dyDescent="0.25">
      <c r="A31" s="23" t="s">
        <v>2</v>
      </c>
      <c r="B31" s="25"/>
      <c r="C31" s="85"/>
      <c r="D31" s="85"/>
      <c r="E31" s="85"/>
      <c r="F31" s="85"/>
      <c r="G31" s="85"/>
      <c r="H31" s="85"/>
      <c r="I31" s="28"/>
      <c r="J31" s="32"/>
      <c r="K31" s="33"/>
      <c r="L31" s="12"/>
    </row>
  </sheetData>
  <mergeCells count="63">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s>
  <conditionalFormatting sqref="C3:H3">
    <cfRule type="expression" dxfId="41" priority="6" stopIfTrue="1">
      <formula>DAY(C3)&gt;8</formula>
    </cfRule>
  </conditionalFormatting>
  <conditionalFormatting sqref="C7:I8">
    <cfRule type="expression" dxfId="40" priority="5" stopIfTrue="1">
      <formula>AND(DAY(C7)&gt;=1,DAY(C7)&lt;=15)</formula>
    </cfRule>
  </conditionalFormatting>
  <conditionalFormatting sqref="C3:I8">
    <cfRule type="expression" dxfId="39" priority="7">
      <formula>VLOOKUP(DAY(C3),DiasTarefa,1,FALSE)=DAY(C3)</formula>
    </cfRule>
  </conditionalFormatting>
  <conditionalFormatting sqref="B12:I12 B14:I14 B16:I16 B18:I18 B20:I20 B22:I22 B24:I24 B26:I26 B28:I28 B30:I30">
    <cfRule type="expression" dxfId="38" priority="4">
      <formula>B12&lt;&gt;""</formula>
    </cfRule>
  </conditionalFormatting>
  <conditionalFormatting sqref="B13:I13 B15:I15 B17:I17 B19:I19 B21:I21 B23:I23 B25:I25 B27:I27 B29:I29 B31:I31">
    <cfRule type="expression" dxfId="37" priority="3">
      <formula>B12&lt;&gt;""</formula>
    </cfRule>
  </conditionalFormatting>
  <conditionalFormatting sqref="B13:I13 B15:I15 B17:I17 B19:I19 B21:I21 B23:I23 B25:I25 B27:I27 B29:I29">
    <cfRule type="expression" dxfId="36" priority="2">
      <formula>COLUMN(B13)&gt;=2</formula>
    </cfRule>
  </conditionalFormatting>
  <conditionalFormatting sqref="B12:I31">
    <cfRule type="expression" dxfId="35" priority="1">
      <formula>COLUMN(B12)&gt;2</formula>
    </cfRule>
  </conditionalFormatting>
  <dataValidations xWindow="132" yWindow="585" count="13">
    <dataValidation allowBlank="1" showInputMessage="1" showErrorMessage="1" prompt="O calendário de julho destaca automaticamente as entradas da lista de tarefas do mês. As fontes mais escuras são tarefas. As fontes mais claras são dias que pertencem ao mês anterior ou seguinte" sqref="B2" xr:uid="{00000000-0002-0000-0700-000000000000}"/>
    <dataValidation allowBlank="1" showInputMessage="1" showErrorMessage="1" prompt="O ano civil é atualizado automaticamente. Para alterar o ano, atualize a célula B1 na planilha de janeiro" sqref="B1" xr:uid="{00000000-0002-0000-0700-000001000000}"/>
    <dataValidation allowBlank="1" showInputMessage="1" showErrorMessage="1" prompt="Prepare um cronograma semanal e crie uma lista de tarefas nesta planilha. As tarefas são destacadas automaticamente no calendário mensal para o ano inserido em B1 na planilha de janeiro" sqref="A1" xr:uid="{00000000-0002-0000-0700-000002000000}"/>
    <dataValidation allowBlank="1" showInputMessage="1" showErrorMessage="1" prompt="Se esta célula não contiver o número 1, ela será um dia de um mês anterior. As células C3:I8 contêm datas do mês atual" sqref="C3" xr:uid="{00000000-0002-0000-0700-000003000000}"/>
    <dataValidation allowBlank="1" showInputMessage="1" showErrorMessage="1" prompt="Se esta linha contiver um número menor que o número ou a linha de números anterior, ela conterá datas para o próximo mês do calendário" sqref="C8" xr:uid="{00000000-0002-0000-0700-000004000000}"/>
    <dataValidation allowBlank="1" showInputMessage="1" showErrorMessage="1" prompt="Insira o horário nesta linha entre as colunas B e I" sqref="B12" xr:uid="{00000000-0002-0000-0700-000005000000}"/>
    <dataValidation allowBlank="1" showInputMessage="1" showErrorMessage="1" prompt="Insira a aula nesta linha entre as colunas B e I" sqref="B13" xr:uid="{00000000-0002-0000-0700-000006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700-000007000000}"/>
    <dataValidation allowBlank="1" showInputMessage="1" showErrorMessage="1" prompt="Insira os detalhes da tarefa nesta coluna, que corresponde ao dia da semana na coluna J e ao dia na coluna K para o mês do calendário à esquerda" sqref="L1" xr:uid="{00000000-0002-0000-0700-000008000000}"/>
    <dataValidation allowBlank="1" showInputMessage="1" showErrorMessage="1" prompt="Insira o dia do mês da tarefa nesta coluna, que corresponde ao dia da semana na coluna J. Essa data destacará a tarefa no calendário à esquerda" sqref="K1" xr:uid="{00000000-0002-0000-0700-000009000000}"/>
    <dataValidation allowBlank="1" showInputMessage="1" showErrorMessage="1" prompt="Os dias da semana estão nesta linha, de segunda a sexta" sqref="B11" xr:uid="{00000000-0002-0000-0700-00000A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700-00000B000000}"/>
    <dataValidation allowBlank="1" showInputMessage="1" showErrorMessage="1" prompt="As células C2:I2 contêm dias da semana" sqref="C2" xr:uid="{00000000-0002-0000-0700-00000C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fitToPage="1"/>
  </sheetPr>
  <dimension ref="A1:L31"/>
  <sheetViews>
    <sheetView showGridLines="0" zoomScaleNormal="100" zoomScalePageLayoutView="84" workbookViewId="0"/>
  </sheetViews>
  <sheetFormatPr defaultColWidth="8.625" defaultRowHeight="30" customHeight="1" x14ac:dyDescent="0.2"/>
  <cols>
    <col min="1" max="1" width="2.625" style="1" customWidth="1"/>
    <col min="2" max="2" width="20.625" style="12" customWidth="1"/>
    <col min="3" max="8" width="10.625" style="1" customWidth="1"/>
    <col min="9" max="9" width="20.625" style="1" customWidth="1"/>
    <col min="10" max="10" width="10.625" style="12" customWidth="1"/>
    <col min="11" max="11" width="10.625" style="2" customWidth="1"/>
    <col min="12" max="12" width="70.625" style="1" customWidth="1"/>
    <col min="13" max="13" width="2.625" customWidth="1"/>
  </cols>
  <sheetData>
    <row r="1" spans="1:12" ht="30" customHeight="1" x14ac:dyDescent="0.2">
      <c r="A1" s="12"/>
      <c r="B1" s="9">
        <f ca="1">AnoCivil</f>
        <v>2019</v>
      </c>
      <c r="J1" s="15" t="s">
        <v>0</v>
      </c>
      <c r="K1" s="15" t="s">
        <v>23</v>
      </c>
      <c r="L1" s="8" t="s">
        <v>24</v>
      </c>
    </row>
    <row r="2" spans="1:12" ht="30" customHeight="1" x14ac:dyDescent="0.25">
      <c r="A2" s="10"/>
      <c r="B2" s="20" t="s">
        <v>35</v>
      </c>
      <c r="C2" s="5" t="s">
        <v>12</v>
      </c>
      <c r="D2" s="5" t="s">
        <v>5</v>
      </c>
      <c r="E2" s="5" t="s">
        <v>17</v>
      </c>
      <c r="F2" s="5" t="s">
        <v>18</v>
      </c>
      <c r="G2" s="5" t="s">
        <v>19</v>
      </c>
      <c r="H2" s="5" t="s">
        <v>21</v>
      </c>
      <c r="I2" s="5" t="s">
        <v>22</v>
      </c>
      <c r="J2" s="32" t="s">
        <v>5</v>
      </c>
      <c r="K2" s="33"/>
      <c r="L2" s="35"/>
    </row>
    <row r="3" spans="1:12" ht="30" customHeight="1" x14ac:dyDescent="0.25">
      <c r="A3" s="10"/>
      <c r="C3" s="4">
        <f ca="1">IF(DAY(SetDom1)=1,SetDom1-6,SetDom1+1)</f>
        <v>43709</v>
      </c>
      <c r="D3" s="4">
        <f ca="1">IF(DAY(SetDom1)=1,SetDom1-5,SetDom1+2)</f>
        <v>43710</v>
      </c>
      <c r="E3" s="4">
        <f ca="1">IF(DAY(SetDom1)=1,SetDom1-4,SetDom1+3)</f>
        <v>43711</v>
      </c>
      <c r="F3" s="4">
        <f ca="1">IF(DAY(SetDom1)=1,SetDom1-3,SetDom1+4)</f>
        <v>43712</v>
      </c>
      <c r="G3" s="4">
        <f ca="1">IF(DAY(SetDom1)=1,SetDom1-2,SetDom1+5)</f>
        <v>43713</v>
      </c>
      <c r="H3" s="4">
        <f ca="1">IF(DAY(SetDom1)=1,SetDom1-1,SetDom1+6)</f>
        <v>43714</v>
      </c>
      <c r="I3" s="4">
        <f ca="1">IF(DAY(SetDom1)=1,SetDom1,SetDom1+7)</f>
        <v>43715</v>
      </c>
      <c r="J3" s="32"/>
      <c r="K3" s="33"/>
      <c r="L3" s="35"/>
    </row>
    <row r="4" spans="1:12" ht="30" customHeight="1" x14ac:dyDescent="0.25">
      <c r="A4" s="10"/>
      <c r="C4" s="4">
        <f ca="1">IF(DAY(SetDom1)=1,SetDom1+1,SetDom1+8)</f>
        <v>43716</v>
      </c>
      <c r="D4" s="4">
        <f ca="1">IF(DAY(SetDom1)=1,SetDom1+2,SetDom1+9)</f>
        <v>43717</v>
      </c>
      <c r="E4" s="4">
        <f ca="1">IF(DAY(SetDom1)=1,SetDom1+3,SetDom1+10)</f>
        <v>43718</v>
      </c>
      <c r="F4" s="4">
        <f ca="1">IF(DAY(SetDom1)=1,SetDom1+4,SetDom1+11)</f>
        <v>43719</v>
      </c>
      <c r="G4" s="4">
        <f ca="1">IF(DAY(SetDom1)=1,SetDom1+5,SetDom1+12)</f>
        <v>43720</v>
      </c>
      <c r="H4" s="4">
        <f ca="1">IF(DAY(SetDom1)=1,SetDom1+6,SetDom1+13)</f>
        <v>43721</v>
      </c>
      <c r="I4" s="4">
        <f ca="1">IF(DAY(SetDom1)=1,SetDom1+7,SetDom1+14)</f>
        <v>43722</v>
      </c>
      <c r="J4" s="32"/>
      <c r="K4" s="33"/>
      <c r="L4" s="35"/>
    </row>
    <row r="5" spans="1:12" ht="30" customHeight="1" x14ac:dyDescent="0.25">
      <c r="A5" s="10"/>
      <c r="C5" s="4">
        <f ca="1">IF(DAY(SetDom1)=1,SetDom1+8,SetDom1+15)</f>
        <v>43723</v>
      </c>
      <c r="D5" s="4">
        <f ca="1">IF(DAY(SetDom1)=1,SetDom1+9,SetDom1+16)</f>
        <v>43724</v>
      </c>
      <c r="E5" s="4">
        <f ca="1">IF(DAY(SetDom1)=1,SetDom1+10,SetDom1+17)</f>
        <v>43725</v>
      </c>
      <c r="F5" s="4">
        <f ca="1">IF(DAY(SetDom1)=1,SetDom1+11,SetDom1+18)</f>
        <v>43726</v>
      </c>
      <c r="G5" s="4">
        <f ca="1">IF(DAY(SetDom1)=1,SetDom1+12,SetDom1+19)</f>
        <v>43727</v>
      </c>
      <c r="H5" s="4">
        <f ca="1">IF(DAY(SetDom1)=1,SetDom1+13,SetDom1+20)</f>
        <v>43728</v>
      </c>
      <c r="I5" s="4">
        <f ca="1">IF(DAY(SetDom1)=1,SetDom1+14,SetDom1+21)</f>
        <v>43729</v>
      </c>
      <c r="J5" s="32"/>
      <c r="K5" s="33"/>
      <c r="L5" s="35"/>
    </row>
    <row r="6" spans="1:12" ht="30" customHeight="1" x14ac:dyDescent="0.25">
      <c r="A6" s="10"/>
      <c r="C6" s="4">
        <f ca="1">IF(DAY(SetDom1)=1,SetDom1+15,SetDom1+22)</f>
        <v>43730</v>
      </c>
      <c r="D6" s="4">
        <f ca="1">IF(DAY(SetDom1)=1,SetDom1+16,SetDom1+23)</f>
        <v>43731</v>
      </c>
      <c r="E6" s="4">
        <f ca="1">IF(DAY(SetDom1)=1,SetDom1+17,SetDom1+24)</f>
        <v>43732</v>
      </c>
      <c r="F6" s="4">
        <f ca="1">IF(DAY(SetDom1)=1,SetDom1+18,SetDom1+25)</f>
        <v>43733</v>
      </c>
      <c r="G6" s="4">
        <f ca="1">IF(DAY(SetDom1)=1,SetDom1+19,SetDom1+26)</f>
        <v>43734</v>
      </c>
      <c r="H6" s="4">
        <f ca="1">IF(DAY(SetDom1)=1,SetDom1+20,SetDom1+27)</f>
        <v>43735</v>
      </c>
      <c r="I6" s="4">
        <f ca="1">IF(DAY(SetDom1)=1,SetDom1+21,SetDom1+28)</f>
        <v>43736</v>
      </c>
      <c r="J6" s="32"/>
      <c r="K6" s="33"/>
      <c r="L6" s="35"/>
    </row>
    <row r="7" spans="1:12" ht="30" customHeight="1" x14ac:dyDescent="0.25">
      <c r="A7" s="10"/>
      <c r="C7" s="4">
        <f ca="1">IF(DAY(SetDom1)=1,SetDom1+22,SetDom1+29)</f>
        <v>43737</v>
      </c>
      <c r="D7" s="4">
        <f ca="1">IF(DAY(SetDom1)=1,SetDom1+23,SetDom1+30)</f>
        <v>43738</v>
      </c>
      <c r="E7" s="4">
        <f ca="1">IF(DAY(SetDom1)=1,SetDom1+24,SetDom1+31)</f>
        <v>43739</v>
      </c>
      <c r="F7" s="4">
        <f ca="1">IF(DAY(SetDom1)=1,SetDom1+25,SetDom1+32)</f>
        <v>43740</v>
      </c>
      <c r="G7" s="4">
        <f ca="1">IF(DAY(SetDom1)=1,SetDom1+26,SetDom1+33)</f>
        <v>43741</v>
      </c>
      <c r="H7" s="4">
        <f ca="1">IF(DAY(SetDom1)=1,SetDom1+27,SetDom1+34)</f>
        <v>43742</v>
      </c>
      <c r="I7" s="4">
        <f ca="1">IF(DAY(SetDom1)=1,SetDom1+28,SetDom1+35)</f>
        <v>43743</v>
      </c>
      <c r="J7" s="16"/>
      <c r="K7" s="14"/>
      <c r="L7" s="36"/>
    </row>
    <row r="8" spans="1:12" ht="30" customHeight="1" x14ac:dyDescent="0.25">
      <c r="A8" s="10"/>
      <c r="B8" s="13"/>
      <c r="C8" s="4">
        <f ca="1">IF(DAY(SetDom1)=1,SetDom1+29,SetDom1+36)</f>
        <v>43744</v>
      </c>
      <c r="D8" s="4">
        <f ca="1">IF(DAY(SetDom1)=1,SetDom1+30,SetDom1+37)</f>
        <v>43745</v>
      </c>
      <c r="E8" s="4">
        <f ca="1">IF(DAY(SetDom1)=1,SetDom1+31,SetDom1+38)</f>
        <v>43746</v>
      </c>
      <c r="F8" s="4">
        <f ca="1">IF(DAY(SetDom1)=1,SetDom1+32,SetDom1+39)</f>
        <v>43747</v>
      </c>
      <c r="G8" s="4">
        <f ca="1">IF(DAY(SetDom1)=1,SetDom1+33,SetDom1+40)</f>
        <v>43748</v>
      </c>
      <c r="H8" s="4">
        <f ca="1">IF(DAY(SetDom1)=1,SetDom1+34,SetDom1+41)</f>
        <v>43749</v>
      </c>
      <c r="I8" s="4">
        <f ca="1">IF(DAY(SetDom1)=1,SetDom1+35,SetDom1+42)</f>
        <v>43750</v>
      </c>
      <c r="J8" s="32" t="s">
        <v>17</v>
      </c>
      <c r="K8" s="17"/>
      <c r="L8" s="35"/>
    </row>
    <row r="9" spans="1:12" ht="30" customHeight="1" x14ac:dyDescent="0.25">
      <c r="A9" s="10"/>
      <c r="C9" s="3"/>
      <c r="D9" s="3"/>
      <c r="E9" s="3"/>
      <c r="F9" s="3"/>
      <c r="G9" s="3"/>
      <c r="H9" s="3"/>
      <c r="I9" s="3"/>
      <c r="J9" s="32"/>
      <c r="K9" s="33"/>
      <c r="L9" s="35"/>
    </row>
    <row r="10" spans="1:12" ht="30" customHeight="1" x14ac:dyDescent="0.25">
      <c r="A10" s="10"/>
      <c r="B10" s="11" t="s">
        <v>4</v>
      </c>
      <c r="C10" s="6"/>
      <c r="D10" s="6"/>
      <c r="E10" s="6"/>
      <c r="F10" s="6"/>
      <c r="G10" s="6"/>
      <c r="H10" s="6"/>
      <c r="I10" s="6"/>
      <c r="J10" s="32"/>
      <c r="K10" s="33"/>
      <c r="L10" s="35"/>
    </row>
    <row r="11" spans="1:12" ht="30" customHeight="1" x14ac:dyDescent="0.25">
      <c r="A11" s="23" t="s">
        <v>0</v>
      </c>
      <c r="B11" s="22" t="s">
        <v>5</v>
      </c>
      <c r="C11" s="82" t="s">
        <v>13</v>
      </c>
      <c r="D11" s="83"/>
      <c r="E11" s="82" t="s">
        <v>18</v>
      </c>
      <c r="F11" s="83"/>
      <c r="G11" s="82" t="s">
        <v>20</v>
      </c>
      <c r="H11" s="83"/>
      <c r="I11" s="31" t="s">
        <v>21</v>
      </c>
      <c r="J11" s="32"/>
      <c r="K11" s="33"/>
      <c r="L11" s="35"/>
    </row>
    <row r="12" spans="1:12" ht="30" customHeight="1" x14ac:dyDescent="0.25">
      <c r="A12" s="23" t="s">
        <v>1</v>
      </c>
      <c r="B12" s="18" t="s">
        <v>6</v>
      </c>
      <c r="C12" s="84"/>
      <c r="D12" s="84"/>
      <c r="E12" s="84" t="s">
        <v>6</v>
      </c>
      <c r="F12" s="84"/>
      <c r="G12" s="84"/>
      <c r="H12" s="84"/>
      <c r="I12" s="19" t="s">
        <v>6</v>
      </c>
      <c r="J12" s="32"/>
      <c r="K12" s="33"/>
      <c r="L12" s="35"/>
    </row>
    <row r="13" spans="1:12" ht="30" customHeight="1" x14ac:dyDescent="0.25">
      <c r="A13" s="23" t="s">
        <v>2</v>
      </c>
      <c r="B13" s="24" t="s">
        <v>7</v>
      </c>
      <c r="C13" s="80"/>
      <c r="D13" s="80"/>
      <c r="E13" s="80" t="s">
        <v>7</v>
      </c>
      <c r="F13" s="80"/>
      <c r="G13" s="80"/>
      <c r="H13" s="80"/>
      <c r="I13" s="26" t="s">
        <v>7</v>
      </c>
      <c r="J13" s="16"/>
      <c r="K13" s="14"/>
      <c r="L13" s="36"/>
    </row>
    <row r="14" spans="1:12" ht="30" customHeight="1" x14ac:dyDescent="0.25">
      <c r="A14" s="23" t="s">
        <v>1</v>
      </c>
      <c r="B14" s="18"/>
      <c r="C14" s="84" t="s">
        <v>14</v>
      </c>
      <c r="D14" s="84"/>
      <c r="E14" s="84"/>
      <c r="F14" s="84"/>
      <c r="G14" s="84" t="s">
        <v>14</v>
      </c>
      <c r="H14" s="84"/>
      <c r="I14" s="19"/>
      <c r="J14" s="32" t="s">
        <v>18</v>
      </c>
      <c r="K14" s="17"/>
      <c r="L14" s="35"/>
    </row>
    <row r="15" spans="1:12" ht="30" customHeight="1" x14ac:dyDescent="0.25">
      <c r="A15" s="23" t="s">
        <v>2</v>
      </c>
      <c r="B15" s="24"/>
      <c r="C15" s="80" t="s">
        <v>15</v>
      </c>
      <c r="D15" s="80"/>
      <c r="E15" s="80"/>
      <c r="F15" s="80"/>
      <c r="G15" s="80" t="s">
        <v>15</v>
      </c>
      <c r="H15" s="80"/>
      <c r="I15" s="26"/>
      <c r="J15" s="32"/>
      <c r="K15" s="33"/>
      <c r="L15" s="35"/>
    </row>
    <row r="16" spans="1:12" ht="30" customHeight="1" x14ac:dyDescent="0.25">
      <c r="A16" s="23" t="s">
        <v>1</v>
      </c>
      <c r="B16" s="18" t="s">
        <v>8</v>
      </c>
      <c r="C16" s="84"/>
      <c r="D16" s="84"/>
      <c r="E16" s="84" t="s">
        <v>8</v>
      </c>
      <c r="F16" s="84"/>
      <c r="G16" s="84"/>
      <c r="H16" s="84"/>
      <c r="I16" s="21" t="s">
        <v>8</v>
      </c>
      <c r="J16" s="32"/>
      <c r="K16" s="33"/>
      <c r="L16" s="35"/>
    </row>
    <row r="17" spans="1:12" ht="30" customHeight="1" x14ac:dyDescent="0.25">
      <c r="A17" s="23" t="s">
        <v>2</v>
      </c>
      <c r="B17" s="24" t="s">
        <v>9</v>
      </c>
      <c r="C17" s="80"/>
      <c r="D17" s="80"/>
      <c r="E17" s="80" t="s">
        <v>9</v>
      </c>
      <c r="F17" s="80"/>
      <c r="G17" s="80"/>
      <c r="H17" s="80"/>
      <c r="I17" s="26" t="s">
        <v>9</v>
      </c>
      <c r="J17" s="32"/>
      <c r="K17" s="33"/>
      <c r="L17" s="35"/>
    </row>
    <row r="18" spans="1:12" ht="30" customHeight="1" x14ac:dyDescent="0.25">
      <c r="A18" s="23" t="s">
        <v>1</v>
      </c>
      <c r="B18" s="18"/>
      <c r="C18" s="84"/>
      <c r="D18" s="84"/>
      <c r="E18" s="84"/>
      <c r="F18" s="84"/>
      <c r="G18" s="84"/>
      <c r="H18" s="84"/>
      <c r="I18" s="19"/>
      <c r="J18" s="32"/>
      <c r="K18" s="33"/>
      <c r="L18" s="35"/>
    </row>
    <row r="19" spans="1:12" ht="30" customHeight="1" x14ac:dyDescent="0.25">
      <c r="A19" s="23" t="s">
        <v>2</v>
      </c>
      <c r="B19" s="24"/>
      <c r="C19" s="80"/>
      <c r="D19" s="80"/>
      <c r="E19" s="80"/>
      <c r="F19" s="80"/>
      <c r="G19" s="80"/>
      <c r="H19" s="80"/>
      <c r="I19" s="39"/>
      <c r="J19" s="16"/>
      <c r="K19" s="14"/>
      <c r="L19" s="37"/>
    </row>
    <row r="20" spans="1:12" ht="30" customHeight="1" x14ac:dyDescent="0.25">
      <c r="A20" s="23" t="s">
        <v>1</v>
      </c>
      <c r="B20" s="18"/>
      <c r="C20" s="84"/>
      <c r="D20" s="84"/>
      <c r="E20" s="84"/>
      <c r="F20" s="84"/>
      <c r="G20" s="84"/>
      <c r="H20" s="84"/>
      <c r="I20" s="19"/>
      <c r="J20" s="32" t="s">
        <v>19</v>
      </c>
      <c r="K20" s="17"/>
      <c r="L20" s="35"/>
    </row>
    <row r="21" spans="1:12" ht="30" customHeight="1" x14ac:dyDescent="0.25">
      <c r="A21" s="23" t="s">
        <v>2</v>
      </c>
      <c r="B21" s="24"/>
      <c r="C21" s="80"/>
      <c r="D21" s="80"/>
      <c r="E21" s="80"/>
      <c r="F21" s="80"/>
      <c r="G21" s="80"/>
      <c r="H21" s="80"/>
      <c r="I21" s="26"/>
      <c r="J21" s="32"/>
      <c r="K21" s="33"/>
      <c r="L21" s="35"/>
    </row>
    <row r="22" spans="1:12" ht="30" customHeight="1" x14ac:dyDescent="0.25">
      <c r="A22" s="23" t="s">
        <v>1</v>
      </c>
      <c r="B22" s="18"/>
      <c r="C22" s="84"/>
      <c r="D22" s="84"/>
      <c r="E22" s="84"/>
      <c r="F22" s="84"/>
      <c r="G22" s="84"/>
      <c r="H22" s="84"/>
      <c r="I22" s="19"/>
      <c r="J22" s="32"/>
      <c r="K22" s="33"/>
      <c r="L22" s="35"/>
    </row>
    <row r="23" spans="1:12" ht="30" customHeight="1" x14ac:dyDescent="0.25">
      <c r="A23" s="23" t="s">
        <v>2</v>
      </c>
      <c r="B23" s="24"/>
      <c r="C23" s="80"/>
      <c r="D23" s="80"/>
      <c r="E23" s="80"/>
      <c r="F23" s="80"/>
      <c r="G23" s="80"/>
      <c r="H23" s="80"/>
      <c r="I23" s="26"/>
      <c r="J23" s="32"/>
      <c r="K23" s="33"/>
      <c r="L23" s="35"/>
    </row>
    <row r="24" spans="1:12" ht="30" customHeight="1" x14ac:dyDescent="0.25">
      <c r="A24" s="23" t="s">
        <v>1</v>
      </c>
      <c r="B24" s="18">
        <v>0.58333333333333337</v>
      </c>
      <c r="C24" s="84"/>
      <c r="D24" s="84"/>
      <c r="E24" s="84">
        <v>0.58333333333333337</v>
      </c>
      <c r="F24" s="84"/>
      <c r="G24" s="84"/>
      <c r="H24" s="84"/>
      <c r="I24" s="19">
        <v>0.58333333333333337</v>
      </c>
      <c r="J24" s="32"/>
      <c r="K24" s="33"/>
      <c r="L24" s="35"/>
    </row>
    <row r="25" spans="1:12" ht="30" customHeight="1" x14ac:dyDescent="0.25">
      <c r="A25" s="23" t="s">
        <v>2</v>
      </c>
      <c r="B25" s="24" t="s">
        <v>10</v>
      </c>
      <c r="C25" s="80"/>
      <c r="D25" s="80"/>
      <c r="E25" s="80" t="s">
        <v>10</v>
      </c>
      <c r="F25" s="80"/>
      <c r="G25" s="80"/>
      <c r="H25" s="80"/>
      <c r="I25" s="26" t="s">
        <v>10</v>
      </c>
      <c r="J25" s="16"/>
      <c r="K25" s="14"/>
      <c r="L25" s="37"/>
    </row>
    <row r="26" spans="1:12" ht="30" customHeight="1" x14ac:dyDescent="0.25">
      <c r="A26" s="23" t="s">
        <v>1</v>
      </c>
      <c r="B26" s="18"/>
      <c r="C26" s="84"/>
      <c r="D26" s="84"/>
      <c r="E26" s="84"/>
      <c r="F26" s="84"/>
      <c r="G26" s="84"/>
      <c r="H26" s="84"/>
      <c r="I26" s="19"/>
      <c r="J26" s="32" t="s">
        <v>21</v>
      </c>
      <c r="K26" s="17"/>
      <c r="L26" s="35"/>
    </row>
    <row r="27" spans="1:12" ht="30" customHeight="1" x14ac:dyDescent="0.25">
      <c r="A27" s="23" t="s">
        <v>2</v>
      </c>
      <c r="B27" s="24"/>
      <c r="C27" s="80"/>
      <c r="D27" s="80"/>
      <c r="E27" s="80"/>
      <c r="F27" s="80"/>
      <c r="G27" s="80"/>
      <c r="H27" s="80"/>
      <c r="I27" s="26"/>
      <c r="J27" s="32"/>
      <c r="K27" s="33"/>
      <c r="L27" s="35"/>
    </row>
    <row r="28" spans="1:12" ht="30" customHeight="1" x14ac:dyDescent="0.25">
      <c r="A28" s="23" t="s">
        <v>1</v>
      </c>
      <c r="B28" s="18"/>
      <c r="C28" s="84">
        <v>0.66666666666666663</v>
      </c>
      <c r="D28" s="84"/>
      <c r="E28" s="84"/>
      <c r="F28" s="84"/>
      <c r="G28" s="84">
        <v>0.66666666666666663</v>
      </c>
      <c r="H28" s="84"/>
      <c r="I28" s="19"/>
      <c r="J28" s="32"/>
      <c r="K28" s="33"/>
      <c r="L28" s="35"/>
    </row>
    <row r="29" spans="1:12" ht="30" customHeight="1" x14ac:dyDescent="0.25">
      <c r="A29" s="23" t="s">
        <v>2</v>
      </c>
      <c r="B29" s="24"/>
      <c r="C29" s="80" t="s">
        <v>16</v>
      </c>
      <c r="D29" s="80"/>
      <c r="E29" s="80"/>
      <c r="F29" s="80"/>
      <c r="G29" s="80" t="s">
        <v>16</v>
      </c>
      <c r="H29" s="80"/>
      <c r="I29" s="26"/>
      <c r="J29" s="32"/>
      <c r="K29" s="33"/>
      <c r="L29" s="35"/>
    </row>
    <row r="30" spans="1:12" ht="30" customHeight="1" x14ac:dyDescent="0.25">
      <c r="A30" s="23" t="s">
        <v>1</v>
      </c>
      <c r="B30" s="18"/>
      <c r="C30" s="84"/>
      <c r="D30" s="84"/>
      <c r="E30" s="84"/>
      <c r="F30" s="84"/>
      <c r="G30" s="84"/>
      <c r="H30" s="84"/>
      <c r="I30" s="19"/>
      <c r="J30" s="32"/>
      <c r="K30" s="33"/>
      <c r="L30" s="35"/>
    </row>
    <row r="31" spans="1:12" ht="30" customHeight="1" x14ac:dyDescent="0.25">
      <c r="A31" s="23" t="s">
        <v>2</v>
      </c>
      <c r="B31" s="25"/>
      <c r="C31" s="85"/>
      <c r="D31" s="85"/>
      <c r="E31" s="85"/>
      <c r="F31" s="85"/>
      <c r="G31" s="85"/>
      <c r="H31" s="85"/>
      <c r="I31" s="28"/>
      <c r="J31" s="32"/>
      <c r="K31" s="33"/>
      <c r="L31" s="12"/>
    </row>
  </sheetData>
  <mergeCells count="63">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s>
  <conditionalFormatting sqref="C3:H3">
    <cfRule type="expression" dxfId="33" priority="6" stopIfTrue="1">
      <formula>DAY(C3)&gt;8</formula>
    </cfRule>
  </conditionalFormatting>
  <conditionalFormatting sqref="C7:I8">
    <cfRule type="expression" dxfId="32" priority="5" stopIfTrue="1">
      <formula>AND(DAY(C7)&gt;=1,DAY(C7)&lt;=15)</formula>
    </cfRule>
  </conditionalFormatting>
  <conditionalFormatting sqref="C3:I8">
    <cfRule type="expression" dxfId="31" priority="7">
      <formula>VLOOKUP(DAY(C3),DiasTarefa,1,FALSE)=DAY(C3)</formula>
    </cfRule>
  </conditionalFormatting>
  <conditionalFormatting sqref="B13:I13 B15:I15 B17:I17 B19:I19 B21:I21 B23:I23 B25:I25 B27:I27 B29:I29 B31:I31">
    <cfRule type="expression" dxfId="30" priority="4">
      <formula>B13&lt;&gt;""</formula>
    </cfRule>
  </conditionalFormatting>
  <conditionalFormatting sqref="B12:I12 B14:I14 B16:I16 B18:I18 B20:I20 B22:I22 B24:I24 B26:I26 B28:I28 B30:I30">
    <cfRule type="expression" dxfId="29" priority="3">
      <formula>B12&lt;&gt;""</formula>
    </cfRule>
  </conditionalFormatting>
  <conditionalFormatting sqref="B13:I13 B15:I15 B17:I17 B19:I19 B21:I21 B23:I23 B25:I25 B27:I27 B29:I29">
    <cfRule type="expression" dxfId="28" priority="2">
      <formula>COLUMN(B13)&gt;=2</formula>
    </cfRule>
  </conditionalFormatting>
  <conditionalFormatting sqref="B12:I31">
    <cfRule type="expression" dxfId="27" priority="1">
      <formula>COLUMN(B12)&gt;2</formula>
    </cfRule>
  </conditionalFormatting>
  <dataValidations count="13">
    <dataValidation allowBlank="1" showInputMessage="1" showErrorMessage="1" prompt="Insira a aula nesta linha entre as colunas B e I" sqref="B13" xr:uid="{00000000-0002-0000-0800-000000000000}"/>
    <dataValidation allowBlank="1" showInputMessage="1" showErrorMessage="1" prompt="Insira o horário nesta linha entre as colunas B e I" sqref="B12" xr:uid="{00000000-0002-0000-0800-000001000000}"/>
    <dataValidation allowBlank="1" showInputMessage="1" showErrorMessage="1" prompt="Se esta linha contiver um número menor que o número ou a linha de números anterior, ela conterá datas para o próximo mês do calendário" sqref="C8" xr:uid="{00000000-0002-0000-0800-000002000000}"/>
    <dataValidation allowBlank="1" showInputMessage="1" showErrorMessage="1" prompt="Se esta célula não contiver o número 1, ela será um dia de um mês anterior. As células C3:I8 contêm datas do mês atual" sqref="C3" xr:uid="{00000000-0002-0000-0800-000003000000}"/>
    <dataValidation allowBlank="1" showInputMessage="1" showErrorMessage="1" prompt="Prepare um cronograma semanal e crie uma lista de tarefas nesta planilha. As tarefas são destacadas automaticamente no calendário mensal para o ano inserido em B1 na planilha de janeiro" sqref="A1" xr:uid="{00000000-0002-0000-0800-000004000000}"/>
    <dataValidation allowBlank="1" showInputMessage="1" showErrorMessage="1" prompt="O ano civil é atualizado automaticamente. Para alterar o ano, atualize a célula B1 na planilha de janeiro" sqref="B1" xr:uid="{00000000-0002-0000-0800-000005000000}"/>
    <dataValidation allowBlank="1" showInputMessage="1" showErrorMessage="1" prompt="O calendário de setembro destaca automaticamente as entradas da lista de tarefas do mês. As fontes mais escuras são tarefas. As fontes mais claras são dias que pertencem ao mês anterior ou seguinte" sqref="B2" xr:uid="{00000000-0002-0000-0800-000006000000}"/>
    <dataValidation allowBlank="1" showInputMessage="1" showErrorMessage="1" prompt="Os dias da semana são agrupados nesta coluna, com 6 linhas para as tarefas de cada dia da semana do mês agrupado. Insira novas linhas para adicionar mais tarefas. O calendário à esquerda destacará os itens" sqref="J1" xr:uid="{00000000-0002-0000-0800-000007000000}"/>
    <dataValidation allowBlank="1" showInputMessage="1" showErrorMessage="1" prompt="Insira os detalhes da tarefa nesta coluna, que corresponde ao dia da semana na coluna J e ao dia na coluna K para o mês do calendário à esquerda" sqref="L1" xr:uid="{00000000-0002-0000-0800-000008000000}"/>
    <dataValidation allowBlank="1" showInputMessage="1" showErrorMessage="1" prompt="Insira o dia do mês da tarefa nesta coluna, que corresponde ao dia da semana na coluna J. Essa data destacará a tarefa no calendário à esquerda" sqref="K1" xr:uid="{00000000-0002-0000-0800-000009000000}"/>
    <dataValidation allowBlank="1" showInputMessage="1" showErrorMessage="1" prompt="Os dias da semana estão nesta linha, de segunda a sexta" sqref="B11" xr:uid="{00000000-0002-0000-0800-00000A000000}"/>
    <dataValidation allowBlank="1" showInputMessage="1" showErrorMessage="1" prompt="Insira o horário da aula e, abaixo, em uma nova linha, o nome da aula para cada dia da semana nas colunas de B a I. Repita esse padrão para todas as aulas nas linhas subsequentes" sqref="B10" xr:uid="{00000000-0002-0000-0800-00000B000000}"/>
    <dataValidation allowBlank="1" showInputMessage="1" showErrorMessage="1" prompt="As células C2:I2 contêm dias da semana" sqref="C2" xr:uid="{00000000-0002-0000-0800-00000C000000}"/>
  </dataValidations>
  <printOptions horizontalCentered="1" verticalCentered="1"/>
  <pageMargins left="0.5" right="0.5" top="0.5" bottom="0.5" header="0.3" footer="0.3"/>
  <pageSetup paperSize="9" scale="58" orientation="landscape"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61</vt:i4>
      </vt:variant>
    </vt:vector>
  </HeadingPairs>
  <TitlesOfParts>
    <vt:vector size="73" baseType="lpstr">
      <vt:lpstr>Jan</vt:lpstr>
      <vt:lpstr>Fev</vt:lpstr>
      <vt:lpstr>Mar</vt:lpstr>
      <vt:lpstr>Abr</vt:lpstr>
      <vt:lpstr>Mai</vt:lpstr>
      <vt:lpstr>Jun</vt:lpstr>
      <vt:lpstr>Jul</vt:lpstr>
      <vt:lpstr>Ago</vt:lpstr>
      <vt:lpstr>Set</vt:lpstr>
      <vt:lpstr>Out</vt:lpstr>
      <vt:lpstr>Nov</vt:lpstr>
      <vt:lpstr>Dez</vt:lpstr>
      <vt:lpstr>AnoCivil</vt:lpstr>
      <vt:lpstr>Abr!DiasTarefa</vt:lpstr>
      <vt:lpstr>Ago!DiasTarefa</vt:lpstr>
      <vt:lpstr>Dez!DiasTarefa</vt:lpstr>
      <vt:lpstr>Fev!DiasTarefa</vt:lpstr>
      <vt:lpstr>Jul!DiasTarefa</vt:lpstr>
      <vt:lpstr>Jun!DiasTarefa</vt:lpstr>
      <vt:lpstr>Mai!DiasTarefa</vt:lpstr>
      <vt:lpstr>Mar!DiasTarefa</vt:lpstr>
      <vt:lpstr>Nov!DiasTarefa</vt:lpstr>
      <vt:lpstr>Out!DiasTarefa</vt:lpstr>
      <vt:lpstr>Set!DiasTarefa</vt:lpstr>
      <vt:lpstr>DiasTarefa</vt:lpstr>
      <vt:lpstr>RegiãoTítulo2..I31.1</vt:lpstr>
      <vt:lpstr>RegiãoTítulo2..I31.10</vt:lpstr>
      <vt:lpstr>RegiãoTítulo2..I31.11</vt:lpstr>
      <vt:lpstr>RegiãoTítulo2..I31.12</vt:lpstr>
      <vt:lpstr>RegiãoTítulo2..I31.2</vt:lpstr>
      <vt:lpstr>RegiãoTítulo2..I31.3</vt:lpstr>
      <vt:lpstr>RegiãoTítulo2..I31.4</vt:lpstr>
      <vt:lpstr>RegiãoTítulo2..I31.5</vt:lpstr>
      <vt:lpstr>RegiãoTítulo2..I31.6</vt:lpstr>
      <vt:lpstr>RegiãoTítulo2..I31.7</vt:lpstr>
      <vt:lpstr>RegiãoTítulo2..I31.8</vt:lpstr>
      <vt:lpstr>RegiãoTítulo2..I31.9</vt:lpstr>
      <vt:lpstr>RegiãoTìtuloColuna1..I8.1</vt:lpstr>
      <vt:lpstr>RegiãoTìtuloColuna1..I8.10</vt:lpstr>
      <vt:lpstr>RegiãoTìtuloColuna1..I8.11</vt:lpstr>
      <vt:lpstr>RegiãoTìtuloColuna1..I8.12</vt:lpstr>
      <vt:lpstr>RegiãoTìtuloColuna1..I8.2</vt:lpstr>
      <vt:lpstr>RegiãoTìtuloColuna1..I8.3</vt:lpstr>
      <vt:lpstr>RegiãoTìtuloColuna1..I8.4</vt:lpstr>
      <vt:lpstr>RegiãoTìtuloColuna1..I8.5</vt:lpstr>
      <vt:lpstr>RegiãoTìtuloColuna1..I8.6</vt:lpstr>
      <vt:lpstr>RegiãoTìtuloColuna1..I8.7</vt:lpstr>
      <vt:lpstr>RegiãoTìtuloColuna1..I8.8</vt:lpstr>
      <vt:lpstr>RegiãoTìtuloColuna1..I8.9</vt:lpstr>
      <vt:lpstr>Abr!TabelaDatasImportantes</vt:lpstr>
      <vt:lpstr>Ago!TabelaDatasImportantes</vt:lpstr>
      <vt:lpstr>Dez!TabelaDatasImportantes</vt:lpstr>
      <vt:lpstr>Fev!TabelaDatasImportantes</vt:lpstr>
      <vt:lpstr>Jul!TabelaDatasImportantes</vt:lpstr>
      <vt:lpstr>Jun!TabelaDatasImportantes</vt:lpstr>
      <vt:lpstr>Mai!TabelaDatasImportantes</vt:lpstr>
      <vt:lpstr>Mar!TabelaDatasImportantes</vt:lpstr>
      <vt:lpstr>Nov!TabelaDatasImportantes</vt:lpstr>
      <vt:lpstr>Out!TabelaDatasImportantes</vt:lpstr>
      <vt:lpstr>Set!TabelaDatasImportantes</vt:lpstr>
      <vt:lpstr>TabelaDatasImportantes</vt:lpstr>
      <vt:lpstr>TítuloColuna1</vt:lpstr>
      <vt:lpstr>TítuloColuna10</vt:lpstr>
      <vt:lpstr>TítuloColuna11</vt:lpstr>
      <vt:lpstr>TítuloColuna12</vt:lpstr>
      <vt:lpstr>TítuloColuna2</vt:lpstr>
      <vt:lpstr>TítuloColuna3</vt:lpstr>
      <vt:lpstr>TítuloColuna4</vt:lpstr>
      <vt:lpstr>TítuloColuna5</vt:lpstr>
      <vt:lpstr>TítuloColuna6</vt:lpstr>
      <vt:lpstr>TítuloColuna7</vt:lpstr>
      <vt:lpstr>TítuloColuna8</vt:lpstr>
      <vt:lpstr>TítuloColuna9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Luiz Domingues Filho - VOT</dc:creator>
  <cp:lastModifiedBy>Luiz Domingues Filho - VOT</cp:lastModifiedBy>
  <dcterms:created xsi:type="dcterms:W3CDTF">2016-12-22T23:12:27Z</dcterms:created>
  <dcterms:modified xsi:type="dcterms:W3CDTF">2019-08-12T19:18:02Z</dcterms:modified>
</cp:coreProperties>
</file>