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autoCompressPictures="0"/>
  <mc:AlternateContent xmlns:mc="http://schemas.openxmlformats.org/markup-compatibility/2006">
    <mc:Choice Requires="x15">
      <x15ac:absPath xmlns:x15ac="http://schemas.microsoft.com/office/spreadsheetml/2010/11/ac" url="E:\Luiz CPD\02\calendário\"/>
    </mc:Choice>
  </mc:AlternateContent>
  <xr:revisionPtr revIDLastSave="0" documentId="8_{3C6CE1AE-ABF8-4666-AB3E-61EFC6DE3589}" xr6:coauthVersionLast="43" xr6:coauthVersionMax="43" xr10:uidLastSave="{00000000-0000-0000-0000-000000000000}"/>
  <bookViews>
    <workbookView xWindow="-120" yWindow="-120" windowWidth="20730" windowHeight="11310" tabRatio="741" xr2:uid="{00000000-000D-0000-FFFF-FFFF00000000}"/>
  </bookViews>
  <sheets>
    <sheet name="Jan" sheetId="1" r:id="rId1"/>
    <sheet name="Fev" sheetId="6" r:id="rId2"/>
    <sheet name="Mar" sheetId="17" r:id="rId3"/>
    <sheet name="Abr" sheetId="18" r:id="rId4"/>
    <sheet name="Mai" sheetId="19" r:id="rId5"/>
    <sheet name="Jun" sheetId="20" r:id="rId6"/>
    <sheet name="Jul" sheetId="21" r:id="rId7"/>
    <sheet name="Ago" sheetId="22" r:id="rId8"/>
    <sheet name="Set" sheetId="23" r:id="rId9"/>
    <sheet name="Out" sheetId="24" r:id="rId10"/>
    <sheet name="Nov" sheetId="25" r:id="rId11"/>
    <sheet name="Dez" sheetId="26" r:id="rId12"/>
  </sheets>
  <definedNames>
    <definedName name="AbrDom1">DATE(AnoCivil,4,1)-WEEKDAY(DATE(AnoCivil,4,1))</definedName>
    <definedName name="AgoDom1">DATE(AnoCivil,8,1)-WEEKDAY(DATE(AnoCivil,8,1))</definedName>
    <definedName name="AnoCivil">Jan!$B$1</definedName>
    <definedName name="DezDom1">DATE(AnoCivil,12,1)-WEEKDAY(DATE(AnoCivil,12,1))</definedName>
    <definedName name="DiasTarefa" localSheetId="3">Abr!$K$2:$K$31</definedName>
    <definedName name="DiasTarefa" localSheetId="7">Ago!$K$2:$K$31</definedName>
    <definedName name="DiasTarefa" localSheetId="11">Dez!$K$2:$K$31</definedName>
    <definedName name="DiasTarefa" localSheetId="1">Fev!$K$2:$K$31</definedName>
    <definedName name="DiasTarefa" localSheetId="6">Jul!$K$2:$K$31</definedName>
    <definedName name="DiasTarefa" localSheetId="5">Jun!$K$2:$K$31</definedName>
    <definedName name="DiasTarefa" localSheetId="4">Mai!$K$2:$K$31</definedName>
    <definedName name="DiasTarefa" localSheetId="2">Mar!$K$2:$K$31</definedName>
    <definedName name="DiasTarefa" localSheetId="10">Nov!$K$2:$K$31</definedName>
    <definedName name="DiasTarefa" localSheetId="9">Out!$K$2:$K$31</definedName>
    <definedName name="DiasTarefa" localSheetId="8">Set!$K$2:$K$31</definedName>
    <definedName name="DiasTarefa">Jan!$K$2:$K$31</definedName>
    <definedName name="FevDom1">DATE(AnoCivil,2,1)-WEEKDAY(DATE(AnoCivil,2,1))</definedName>
    <definedName name="JanDom1">DATE(AnoCivil,1,1)-WEEKDAY(DATE(AnoCivil,1,1))</definedName>
    <definedName name="JulDom1">DATE(AnoCivil,7,1)-WEEKDAY(DATE(AnoCivil,7,1))</definedName>
    <definedName name="JunDom1">DATE(AnoCivil,6,1)-WEEKDAY(DATE(AnoCivil,6,1))</definedName>
    <definedName name="MaiDom1">DATE(AnoCivil,5,1)-WEEKDAY(DATE(AnoCivil,5,1))</definedName>
    <definedName name="MarDom1">DATE(AnoCivil,3,1)-WEEKDAY(DATE(AnoCivil,3,1))</definedName>
    <definedName name="NovDom1">DATE(AnoCivil,11,1)-WEEKDAY(DATE(AnoCivil,11,1))</definedName>
    <definedName name="OutDom1">DATE(AnoCivil,10,1)-WEEKDAY(DATE(AnoCivil,10,1))</definedName>
    <definedName name="RegiãoTítulo2..I31.1">Jan!$A$11</definedName>
    <definedName name="RegiãoTítulo2..I31.10">Out!$A$11</definedName>
    <definedName name="RegiãoTítulo2..I31.11">Nov!$A$11</definedName>
    <definedName name="RegiãoTítulo2..I31.12">Dez!$A$11</definedName>
    <definedName name="RegiãoTítulo2..I31.2">Fev!$A$11</definedName>
    <definedName name="RegiãoTítulo2..I31.3">Mar!$A$11</definedName>
    <definedName name="RegiãoTítulo2..I31.4">Abr!$A$11</definedName>
    <definedName name="RegiãoTítulo2..I31.5">Mai!$A$11</definedName>
    <definedName name="RegiãoTítulo2..I31.6">Jun!$A$11</definedName>
    <definedName name="RegiãoTítulo2..I31.7">Jul!$A$11</definedName>
    <definedName name="RegiãoTítulo2..I31.8">Ago!$A$11</definedName>
    <definedName name="RegiãoTítulo2..I31.9">Set!$A$11</definedName>
    <definedName name="RegiãoTìtuloColuna1..I8.1">Jan!$C$2</definedName>
    <definedName name="RegiãoTìtuloColuna1..I8.10">Out!$C$2</definedName>
    <definedName name="RegiãoTìtuloColuna1..I8.11">Nov!$C$2</definedName>
    <definedName name="RegiãoTìtuloColuna1..I8.12">Dez!$C$2</definedName>
    <definedName name="RegiãoTìtuloColuna1..I8.2">Fev!$C$2</definedName>
    <definedName name="RegiãoTìtuloColuna1..I8.3">Mar!$C$2</definedName>
    <definedName name="RegiãoTìtuloColuna1..I8.4">Abr!$C$2</definedName>
    <definedName name="RegiãoTìtuloColuna1..I8.5">Mai!$C$2</definedName>
    <definedName name="RegiãoTìtuloColuna1..I8.6">Jun!$C$2</definedName>
    <definedName name="RegiãoTìtuloColuna1..I8.7">Jul!$C$2</definedName>
    <definedName name="RegiãoTìtuloColuna1..I8.8">Ago!$C$2</definedName>
    <definedName name="RegiãoTìtuloColuna1..I8.9">Set!$C$2</definedName>
    <definedName name="SetDom1">DATE(AnoCivil,9,1)-WEEKDAY(DATE(AnoCivil,9,1))</definedName>
    <definedName name="TabelaDatasImportantes" localSheetId="3">Abr!$K$2:$L$6</definedName>
    <definedName name="TabelaDatasImportantes" localSheetId="7">Ago!$K$2:$L$6</definedName>
    <definedName name="TabelaDatasImportantes" localSheetId="11">Dez!$K$2:$L$6</definedName>
    <definedName name="TabelaDatasImportantes" localSheetId="1">Fev!$K$2:$L$6</definedName>
    <definedName name="TabelaDatasImportantes" localSheetId="6">Jul!$K$2:$L$6</definedName>
    <definedName name="TabelaDatasImportantes" localSheetId="5">Jun!$K$2:$L$6</definedName>
    <definedName name="TabelaDatasImportantes" localSheetId="4">Mai!$K$2:$L$6</definedName>
    <definedName name="TabelaDatasImportantes" localSheetId="2">Mar!$K$2:$L$6</definedName>
    <definedName name="TabelaDatasImportantes" localSheetId="10">Nov!$K$2:$L$6</definedName>
    <definedName name="TabelaDatasImportantes" localSheetId="9">Out!$K$2:$L$6</definedName>
    <definedName name="TabelaDatasImportantes" localSheetId="8">Set!$K$2:$L$6</definedName>
    <definedName name="TabelaDatasImportantes">Jan!$K$2:$L$6</definedName>
    <definedName name="TítuloColuna1">Tarefas_de_janeiro[[#Headers],[Dia da semana]]</definedName>
    <definedName name="TítuloColuna10">Tarefas_de_outubro[[#Headers],[Dia da semana]]</definedName>
    <definedName name="TítuloColuna11">Tarefas_de_novembro[[#Headers],[Dia da semana]]</definedName>
    <definedName name="TítuloColuna12">Tarefas_de_dezembro[[#Headers],[Dia da semana]]</definedName>
    <definedName name="TítuloColuna2">Tarefas_de_fevereiro[[#Headers],[Dia da semana]]</definedName>
    <definedName name="TítuloColuna3">Tarefas_de_março[[#Headers],[Dia da semana]]</definedName>
    <definedName name="TítuloColuna4">Tarefas_de_abril[[#Headers],[Dia da semana]]</definedName>
    <definedName name="TítuloColuna5">Tarefas_de_maio[[#Headers],[Dia da semana]]</definedName>
    <definedName name="TítuloColuna6">Tarefas_de_junho[[#Headers],[Dia da semana]]</definedName>
    <definedName name="TítuloColuna7">Tarefas_de_julho[[#Headers],[Dia da semana]]</definedName>
    <definedName name="TítuloColuna8">Tarefas_de_agosto[[#Headers],[Dia da semana]]</definedName>
    <definedName name="TítuloColuna9">Tarefas_de_setembro[[#Headers],[Dia da semana]]</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1" l="1"/>
  <c r="I8" i="18" l="1"/>
  <c r="E8" i="18"/>
  <c r="H7" i="18"/>
  <c r="D7" i="18"/>
  <c r="G6" i="18"/>
  <c r="C6" i="18"/>
  <c r="F5" i="18"/>
  <c r="I4" i="18"/>
  <c r="E4" i="18"/>
  <c r="H3" i="18"/>
  <c r="D3" i="18"/>
  <c r="H8" i="18"/>
  <c r="D8" i="18"/>
  <c r="G7" i="18"/>
  <c r="C7" i="18"/>
  <c r="F6" i="18"/>
  <c r="I5" i="18"/>
  <c r="E5" i="18"/>
  <c r="H4" i="18"/>
  <c r="D4" i="18"/>
  <c r="G3" i="18"/>
  <c r="C3" i="18"/>
  <c r="C8" i="18"/>
  <c r="F7" i="18"/>
  <c r="I6" i="18"/>
  <c r="E6" i="18"/>
  <c r="H5" i="18"/>
  <c r="D5" i="18"/>
  <c r="G4" i="18"/>
  <c r="C4" i="18"/>
  <c r="F3" i="18"/>
  <c r="F8" i="18"/>
  <c r="I7" i="18"/>
  <c r="E7" i="18"/>
  <c r="H6" i="18"/>
  <c r="D6" i="18"/>
  <c r="G5" i="18"/>
  <c r="C5" i="18"/>
  <c r="F4" i="18"/>
  <c r="I3" i="18"/>
  <c r="E3" i="18"/>
  <c r="G8" i="18"/>
  <c r="B1" i="18"/>
  <c r="B1" i="22"/>
  <c r="B1" i="26"/>
  <c r="B1" i="19"/>
  <c r="B1" i="23"/>
  <c r="B1" i="6"/>
  <c r="B1" i="20"/>
  <c r="B1" i="24"/>
  <c r="B1" i="17"/>
  <c r="B1" i="21"/>
  <c r="B1" i="25"/>
  <c r="H8" i="26"/>
  <c r="D8" i="26"/>
  <c r="G7" i="26"/>
  <c r="C7" i="26"/>
  <c r="F6" i="26"/>
  <c r="I5" i="26"/>
  <c r="E5" i="26"/>
  <c r="H4" i="26"/>
  <c r="D4" i="26"/>
  <c r="G3" i="26"/>
  <c r="C3" i="26"/>
  <c r="G8" i="26"/>
  <c r="C8" i="26"/>
  <c r="F7" i="26"/>
  <c r="I6" i="26"/>
  <c r="E6" i="26"/>
  <c r="H5" i="26"/>
  <c r="D5" i="26"/>
  <c r="G4" i="26"/>
  <c r="C4" i="26"/>
  <c r="F3" i="26"/>
  <c r="F8" i="26"/>
  <c r="I7" i="26"/>
  <c r="E7" i="26"/>
  <c r="H6" i="26"/>
  <c r="D6" i="26"/>
  <c r="G5" i="26"/>
  <c r="C5" i="26"/>
  <c r="F4" i="26"/>
  <c r="I3" i="26"/>
  <c r="E3" i="26"/>
  <c r="I8" i="26"/>
  <c r="E8" i="26"/>
  <c r="H7" i="26"/>
  <c r="D7" i="26"/>
  <c r="G6" i="26"/>
  <c r="C6" i="26"/>
  <c r="F5" i="26"/>
  <c r="I4" i="26"/>
  <c r="E4" i="26"/>
  <c r="H3" i="26"/>
  <c r="D3" i="26"/>
  <c r="I8" i="25"/>
  <c r="E8" i="25"/>
  <c r="H7" i="25"/>
  <c r="D7" i="25"/>
  <c r="G6" i="25"/>
  <c r="C6" i="25"/>
  <c r="F5" i="25"/>
  <c r="I4" i="25"/>
  <c r="E4" i="25"/>
  <c r="H3" i="25"/>
  <c r="D3" i="25"/>
  <c r="G7" i="25"/>
  <c r="F6" i="25"/>
  <c r="I5" i="25"/>
  <c r="H4" i="25"/>
  <c r="G3" i="25"/>
  <c r="I3" i="25"/>
  <c r="H8" i="25"/>
  <c r="D8" i="25"/>
  <c r="C7" i="25"/>
  <c r="E5" i="25"/>
  <c r="D4" i="25"/>
  <c r="C3" i="25"/>
  <c r="E3" i="25"/>
  <c r="G8" i="25"/>
  <c r="C8" i="25"/>
  <c r="F7" i="25"/>
  <c r="I6" i="25"/>
  <c r="E6" i="25"/>
  <c r="H5" i="25"/>
  <c r="D5" i="25"/>
  <c r="G4" i="25"/>
  <c r="C4" i="25"/>
  <c r="F3" i="25"/>
  <c r="F8" i="25"/>
  <c r="I7" i="25"/>
  <c r="E7" i="25"/>
  <c r="H6" i="25"/>
  <c r="D6" i="25"/>
  <c r="G5" i="25"/>
  <c r="C5" i="25"/>
  <c r="F4" i="25"/>
  <c r="I8" i="24"/>
  <c r="E8" i="24"/>
  <c r="H7" i="24"/>
  <c r="D7" i="24"/>
  <c r="G6" i="24"/>
  <c r="C6" i="24"/>
  <c r="F5" i="24"/>
  <c r="I4" i="24"/>
  <c r="E4" i="24"/>
  <c r="H3" i="24"/>
  <c r="D3" i="24"/>
  <c r="H8" i="24"/>
  <c r="D8" i="24"/>
  <c r="G7" i="24"/>
  <c r="C7" i="24"/>
  <c r="F6" i="24"/>
  <c r="I5" i="24"/>
  <c r="E5" i="24"/>
  <c r="H4" i="24"/>
  <c r="D4" i="24"/>
  <c r="G3" i="24"/>
  <c r="C3" i="24"/>
  <c r="G8" i="24"/>
  <c r="C8" i="24"/>
  <c r="F7" i="24"/>
  <c r="I6" i="24"/>
  <c r="E6" i="24"/>
  <c r="H5" i="24"/>
  <c r="D5" i="24"/>
  <c r="G4" i="24"/>
  <c r="C4" i="24"/>
  <c r="F3" i="24"/>
  <c r="F8" i="24"/>
  <c r="I7" i="24"/>
  <c r="E7" i="24"/>
  <c r="H6" i="24"/>
  <c r="D6" i="24"/>
  <c r="G5" i="24"/>
  <c r="C5" i="24"/>
  <c r="F4" i="24"/>
  <c r="I3" i="24"/>
  <c r="E3" i="24"/>
  <c r="I8" i="23"/>
  <c r="E8" i="23"/>
  <c r="H7" i="23"/>
  <c r="D7" i="23"/>
  <c r="G6" i="23"/>
  <c r="C6" i="23"/>
  <c r="F5" i="23"/>
  <c r="I4" i="23"/>
  <c r="E4" i="23"/>
  <c r="H3" i="23"/>
  <c r="D3" i="23"/>
  <c r="D4" i="23"/>
  <c r="C3" i="23"/>
  <c r="G8" i="23"/>
  <c r="F7" i="23"/>
  <c r="H5" i="23"/>
  <c r="D5" i="23"/>
  <c r="C4" i="23"/>
  <c r="F8" i="23"/>
  <c r="E7" i="23"/>
  <c r="D6" i="23"/>
  <c r="C5" i="23"/>
  <c r="I3" i="23"/>
  <c r="H8" i="23"/>
  <c r="D8" i="23"/>
  <c r="G7" i="23"/>
  <c r="C7" i="23"/>
  <c r="F6" i="23"/>
  <c r="I5" i="23"/>
  <c r="E5" i="23"/>
  <c r="H4" i="23"/>
  <c r="G3" i="23"/>
  <c r="C8" i="23"/>
  <c r="I6" i="23"/>
  <c r="E6" i="23"/>
  <c r="G4" i="23"/>
  <c r="F3" i="23"/>
  <c r="I7" i="23"/>
  <c r="H6" i="23"/>
  <c r="G5" i="23"/>
  <c r="F4" i="23"/>
  <c r="E3" i="23"/>
  <c r="I8" i="22"/>
  <c r="G6" i="22"/>
  <c r="I4" i="22"/>
  <c r="H3" i="22"/>
  <c r="H8" i="22"/>
  <c r="D8" i="22"/>
  <c r="G7" i="22"/>
  <c r="C7" i="22"/>
  <c r="F6" i="22"/>
  <c r="I5" i="22"/>
  <c r="E5" i="22"/>
  <c r="H4" i="22"/>
  <c r="D4" i="22"/>
  <c r="G3" i="22"/>
  <c r="C3" i="22"/>
  <c r="G8" i="22"/>
  <c r="C8" i="22"/>
  <c r="F7" i="22"/>
  <c r="I6" i="22"/>
  <c r="E6" i="22"/>
  <c r="H5" i="22"/>
  <c r="D5" i="22"/>
  <c r="G4" i="22"/>
  <c r="C4" i="22"/>
  <c r="F3" i="22"/>
  <c r="F8" i="22"/>
  <c r="I7" i="22"/>
  <c r="E7" i="22"/>
  <c r="H6" i="22"/>
  <c r="D6" i="22"/>
  <c r="G5" i="22"/>
  <c r="C5" i="22"/>
  <c r="F4" i="22"/>
  <c r="I3" i="22"/>
  <c r="E3" i="22"/>
  <c r="E8" i="22"/>
  <c r="H7" i="22"/>
  <c r="D7" i="22"/>
  <c r="C6" i="22"/>
  <c r="F5" i="22"/>
  <c r="E4" i="22"/>
  <c r="D3" i="22"/>
  <c r="I8" i="21"/>
  <c r="E8" i="21"/>
  <c r="H7" i="21"/>
  <c r="D7" i="21"/>
  <c r="G6" i="21"/>
  <c r="C6" i="21"/>
  <c r="F5" i="21"/>
  <c r="I4" i="21"/>
  <c r="E4" i="21"/>
  <c r="H3" i="21"/>
  <c r="D3" i="21"/>
  <c r="H8" i="21"/>
  <c r="D8" i="21"/>
  <c r="G7" i="21"/>
  <c r="C7" i="21"/>
  <c r="F6" i="21"/>
  <c r="I5" i="21"/>
  <c r="E5" i="21"/>
  <c r="H4" i="21"/>
  <c r="G3" i="21"/>
  <c r="G8" i="21"/>
  <c r="C8" i="21"/>
  <c r="F7" i="21"/>
  <c r="I6" i="21"/>
  <c r="E6" i="21"/>
  <c r="H5" i="21"/>
  <c r="D5" i="21"/>
  <c r="G4" i="21"/>
  <c r="C4" i="21"/>
  <c r="F3" i="21"/>
  <c r="F8" i="21"/>
  <c r="I7" i="21"/>
  <c r="E7" i="21"/>
  <c r="H6" i="21"/>
  <c r="D6" i="21"/>
  <c r="G5" i="21"/>
  <c r="C5" i="21"/>
  <c r="F4" i="21"/>
  <c r="I3" i="21"/>
  <c r="E3" i="21"/>
  <c r="D4" i="21"/>
  <c r="C3" i="21"/>
  <c r="I8" i="20"/>
  <c r="E8" i="20"/>
  <c r="H7" i="20"/>
  <c r="D7" i="20"/>
  <c r="G6" i="20"/>
  <c r="C6" i="20"/>
  <c r="F5" i="20"/>
  <c r="I4" i="20"/>
  <c r="E4" i="20"/>
  <c r="H3" i="20"/>
  <c r="D3" i="20"/>
  <c r="H8" i="20"/>
  <c r="D8" i="20"/>
  <c r="G7" i="20"/>
  <c r="C7" i="20"/>
  <c r="F6" i="20"/>
  <c r="I5" i="20"/>
  <c r="E5" i="20"/>
  <c r="H4" i="20"/>
  <c r="D4" i="20"/>
  <c r="G3" i="20"/>
  <c r="C3" i="20"/>
  <c r="G8" i="20"/>
  <c r="C8" i="20"/>
  <c r="F7" i="20"/>
  <c r="I6" i="20"/>
  <c r="E6" i="20"/>
  <c r="H5" i="20"/>
  <c r="D5" i="20"/>
  <c r="G4" i="20"/>
  <c r="C4" i="20"/>
  <c r="F3" i="20"/>
  <c r="F8" i="20"/>
  <c r="I7" i="20"/>
  <c r="E7" i="20"/>
  <c r="H6" i="20"/>
  <c r="D6" i="20"/>
  <c r="G5" i="20"/>
  <c r="C5" i="20"/>
  <c r="F4" i="20"/>
  <c r="I3" i="20"/>
  <c r="E3" i="20"/>
  <c r="I8" i="19"/>
  <c r="E8" i="19"/>
  <c r="H7" i="19"/>
  <c r="D7" i="19"/>
  <c r="G6" i="19"/>
  <c r="C6" i="19"/>
  <c r="F5" i="19"/>
  <c r="I4" i="19"/>
  <c r="E4" i="19"/>
  <c r="H3" i="19"/>
  <c r="D3" i="19"/>
  <c r="G3" i="19"/>
  <c r="G8" i="19"/>
  <c r="F7" i="19"/>
  <c r="E6" i="19"/>
  <c r="D5" i="19"/>
  <c r="C4" i="19"/>
  <c r="I3" i="19"/>
  <c r="H8" i="19"/>
  <c r="D8" i="19"/>
  <c r="G7" i="19"/>
  <c r="C7" i="19"/>
  <c r="F6" i="19"/>
  <c r="I5" i="19"/>
  <c r="E5" i="19"/>
  <c r="H4" i="19"/>
  <c r="D4" i="19"/>
  <c r="C3" i="19"/>
  <c r="I6" i="19"/>
  <c r="H5" i="19"/>
  <c r="G4" i="19"/>
  <c r="F3" i="19"/>
  <c r="E3" i="19"/>
  <c r="C8" i="19"/>
  <c r="F8" i="19"/>
  <c r="I7" i="19"/>
  <c r="E7" i="19"/>
  <c r="H6" i="19"/>
  <c r="D6" i="19"/>
  <c r="G5" i="19"/>
  <c r="C5" i="19"/>
  <c r="F4" i="19"/>
  <c r="I8" i="17"/>
  <c r="E8" i="17"/>
  <c r="H7" i="17"/>
  <c r="D7" i="17"/>
  <c r="G6" i="17"/>
  <c r="C6" i="17"/>
  <c r="F5" i="17"/>
  <c r="I4" i="17"/>
  <c r="E4" i="17"/>
  <c r="H3" i="17"/>
  <c r="D3" i="17"/>
  <c r="C8" i="17"/>
  <c r="I6" i="17"/>
  <c r="H5" i="17"/>
  <c r="G4" i="17"/>
  <c r="F3" i="17"/>
  <c r="E7" i="17"/>
  <c r="D6" i="17"/>
  <c r="C5" i="17"/>
  <c r="I3" i="17"/>
  <c r="H8" i="17"/>
  <c r="D8" i="17"/>
  <c r="G7" i="17"/>
  <c r="C7" i="17"/>
  <c r="F6" i="17"/>
  <c r="I5" i="17"/>
  <c r="E5" i="17"/>
  <c r="H4" i="17"/>
  <c r="D4" i="17"/>
  <c r="G3" i="17"/>
  <c r="C3" i="17"/>
  <c r="G8" i="17"/>
  <c r="F7" i="17"/>
  <c r="E6" i="17"/>
  <c r="D5" i="17"/>
  <c r="C4" i="17"/>
  <c r="F8" i="17"/>
  <c r="I7" i="17"/>
  <c r="H6" i="17"/>
  <c r="G5" i="17"/>
  <c r="F4" i="17"/>
  <c r="E3" i="17"/>
  <c r="I8" i="6"/>
  <c r="E8" i="6"/>
  <c r="H7" i="6"/>
  <c r="D7" i="6"/>
  <c r="G6" i="6"/>
  <c r="C6" i="6"/>
  <c r="F5" i="6"/>
  <c r="I4" i="6"/>
  <c r="E4" i="6"/>
  <c r="H3" i="6"/>
  <c r="D3" i="6"/>
  <c r="H8" i="6"/>
  <c r="D8" i="6"/>
  <c r="G7" i="6"/>
  <c r="C7" i="6"/>
  <c r="F6" i="6"/>
  <c r="I5" i="6"/>
  <c r="E5" i="6"/>
  <c r="H4" i="6"/>
  <c r="D4" i="6"/>
  <c r="G3" i="6"/>
  <c r="C3" i="6"/>
  <c r="G8" i="6"/>
  <c r="C8" i="6"/>
  <c r="F7" i="6"/>
  <c r="I6" i="6"/>
  <c r="E6" i="6"/>
  <c r="H5" i="6"/>
  <c r="D5" i="6"/>
  <c r="G4" i="6"/>
  <c r="C4" i="6"/>
  <c r="F3" i="6"/>
  <c r="F8" i="6"/>
  <c r="I7" i="6"/>
  <c r="E7" i="6"/>
  <c r="H6" i="6"/>
  <c r="D6" i="6"/>
  <c r="G5" i="6"/>
  <c r="C5" i="6"/>
  <c r="F4" i="6"/>
  <c r="I3" i="6"/>
  <c r="E3" i="6"/>
  <c r="I8" i="1"/>
  <c r="H8" i="1"/>
  <c r="D8" i="1"/>
  <c r="G7" i="1"/>
  <c r="C7" i="1"/>
  <c r="F6" i="1"/>
  <c r="I5" i="1"/>
  <c r="E5" i="1"/>
  <c r="H4" i="1"/>
  <c r="D4" i="1"/>
  <c r="G3" i="1"/>
  <c r="C3" i="1"/>
  <c r="E7" i="1"/>
  <c r="D6" i="1"/>
  <c r="C5" i="1"/>
  <c r="I3" i="1"/>
  <c r="H7" i="1"/>
  <c r="G6" i="1"/>
  <c r="F5" i="1"/>
  <c r="E4" i="1"/>
  <c r="D3" i="1"/>
  <c r="G8" i="1"/>
  <c r="C8" i="1"/>
  <c r="F7" i="1"/>
  <c r="I6" i="1"/>
  <c r="E6" i="1"/>
  <c r="H5" i="1"/>
  <c r="D5" i="1"/>
  <c r="G4" i="1"/>
  <c r="C4" i="1"/>
  <c r="F3" i="1"/>
  <c r="F8" i="1"/>
  <c r="I7" i="1"/>
  <c r="H6" i="1"/>
  <c r="G5" i="1"/>
  <c r="F4" i="1"/>
  <c r="E3" i="1"/>
  <c r="E8" i="1"/>
  <c r="D7" i="1"/>
  <c r="C6" i="1"/>
  <c r="I4" i="1"/>
  <c r="H3" i="1"/>
</calcChain>
</file>

<file path=xl/sharedStrings.xml><?xml version="1.0" encoding="utf-8"?>
<sst xmlns="http://schemas.openxmlformats.org/spreadsheetml/2006/main" count="772" uniqueCount="39">
  <si>
    <t>Dia da semana</t>
  </si>
  <si>
    <t>Hora</t>
  </si>
  <si>
    <t>Aula</t>
  </si>
  <si>
    <t>JAN</t>
  </si>
  <si>
    <t>AGENDA SEMANAL</t>
  </si>
  <si>
    <t>SEG</t>
  </si>
  <si>
    <t>8:00</t>
  </si>
  <si>
    <t>Francês</t>
  </si>
  <si>
    <t>10:00</t>
  </si>
  <si>
    <t>Matemática</t>
  </si>
  <si>
    <t>Inglês</t>
  </si>
  <si>
    <t>Insira o ano civil na célula B1 à esquerda.</t>
  </si>
  <si>
    <t>DOM</t>
  </si>
  <si>
    <t>TERÇA</t>
  </si>
  <si>
    <t>9:00</t>
  </si>
  <si>
    <t>História da Arte</t>
  </si>
  <si>
    <t>Programação</t>
  </si>
  <si>
    <t>TER</t>
  </si>
  <si>
    <t>QUA</t>
  </si>
  <si>
    <t>QUI</t>
  </si>
  <si>
    <t>QUINTA</t>
  </si>
  <si>
    <t>SEX</t>
  </si>
  <si>
    <t>SÁB</t>
  </si>
  <si>
    <t>dia do calendário</t>
  </si>
  <si>
    <t>TAREFAS</t>
  </si>
  <si>
    <t>Francês: Entregar primeiro rascunho do ensaio em</t>
  </si>
  <si>
    <t>História da Arte: Teste</t>
  </si>
  <si>
    <t>FEV</t>
  </si>
  <si>
    <t>MAR</t>
  </si>
  <si>
    <t>ABR</t>
  </si>
  <si>
    <t xml:space="preserve"> </t>
  </si>
  <si>
    <t>MAIO</t>
  </si>
  <si>
    <t>JUN</t>
  </si>
  <si>
    <t>JUL</t>
  </si>
  <si>
    <t>AGO</t>
  </si>
  <si>
    <t>SET</t>
  </si>
  <si>
    <t>OUT</t>
  </si>
  <si>
    <t>NOV</t>
  </si>
  <si>
    <t>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</si>
</sst>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numFmt numFmtId="169" formatCode="[$-416]mmmmm;@"/>
  </numFmts>
  <fonts count="28" x14ac:knownFonts="1">
    <font>
      <sz val="11"/>
      <color theme="1"/>
      <name val="Arial"/>
      <family val="2"/>
      <scheme val="minor"/>
    </font>
    <font>
      <sz val="11"/>
      <color theme="1"/>
      <name val="Arial"/>
      <family val="2"/>
      <scheme val="minor"/>
    </font>
    <font>
      <sz val="8"/>
      <name val="Arial"/>
      <family val="2"/>
      <scheme val="minor"/>
    </font>
    <font>
      <sz val="10"/>
      <color theme="1" tint="0.249977111117893"/>
      <name val="Arial"/>
      <family val="2"/>
      <scheme val="minor"/>
    </font>
    <font>
      <sz val="12"/>
      <color theme="1" tint="0.249977111117893"/>
      <name val="Arial"/>
      <family val="2"/>
      <scheme val="minor"/>
    </font>
    <font>
      <sz val="11"/>
      <color theme="1"/>
      <name val="Arial"/>
      <family val="2"/>
      <scheme val="minor"/>
    </font>
    <font>
      <sz val="11"/>
      <color theme="0"/>
      <name val="Arial"/>
      <family val="2"/>
      <scheme val="minor"/>
    </font>
    <font>
      <b/>
      <sz val="24"/>
      <color theme="4" tint="-0.499984740745262"/>
      <name val="Arial"/>
      <family val="2"/>
      <scheme val="minor"/>
    </font>
    <font>
      <b/>
      <sz val="17"/>
      <color theme="4" tint="-0.499984740745262"/>
      <name val="Arial"/>
      <family val="2"/>
      <scheme val="minor"/>
    </font>
    <font>
      <b/>
      <sz val="12"/>
      <color theme="4" tint="-0.499984740745262"/>
      <name val="Arial"/>
      <family val="2"/>
      <scheme val="minor"/>
    </font>
    <font>
      <b/>
      <sz val="11"/>
      <color theme="4" tint="-0.499984740745262"/>
      <name val="Arial"/>
      <family val="2"/>
      <scheme val="minor"/>
    </font>
    <font>
      <b/>
      <sz val="11"/>
      <color theme="1"/>
      <name val="Arial"/>
      <family val="2"/>
      <scheme val="minor"/>
    </font>
    <font>
      <b/>
      <sz val="18"/>
      <color theme="4" tint="-0.499984740745262"/>
      <name val="Arial"/>
      <family val="2"/>
      <scheme val="major"/>
    </font>
    <font>
      <sz val="11"/>
      <name val="Arial"/>
      <family val="2"/>
      <scheme val="minor"/>
    </font>
    <font>
      <sz val="11"/>
      <color indexed="8"/>
      <name val="Arial"/>
      <family val="2"/>
      <scheme val="major"/>
    </font>
    <font>
      <sz val="11"/>
      <color theme="1"/>
      <name val="Arial"/>
      <family val="2"/>
      <scheme val="minor"/>
    </font>
    <font>
      <b/>
      <sz val="18"/>
      <color theme="4" tint="-0.499984740745262"/>
      <name val="Arial"/>
      <family val="2"/>
      <scheme val="major"/>
    </font>
    <font>
      <b/>
      <sz val="11"/>
      <color theme="4" tint="-0.499984740745262"/>
      <name val="Arial"/>
      <family val="2"/>
      <scheme val="minor"/>
    </font>
    <font>
      <sz val="11"/>
      <color theme="0"/>
      <name val="Arial"/>
      <family val="2"/>
      <scheme val="minor"/>
    </font>
    <font>
      <b/>
      <sz val="17"/>
      <color theme="4" tint="-0.499984740745262"/>
      <name val="Arial"/>
      <family val="2"/>
      <scheme val="minor"/>
    </font>
    <font>
      <b/>
      <sz val="24"/>
      <color theme="4" tint="-0.499984740745262"/>
      <name val="Arial"/>
      <family val="2"/>
      <scheme val="minor"/>
    </font>
    <font>
      <sz val="12"/>
      <color theme="1" tint="0.249977111117893"/>
      <name val="Arial"/>
      <family val="2"/>
      <scheme val="minor"/>
    </font>
    <font>
      <b/>
      <sz val="12"/>
      <color theme="4" tint="-0.499984740745262"/>
      <name val="Arial"/>
      <family val="2"/>
      <scheme val="minor"/>
    </font>
    <font>
      <b/>
      <sz val="11"/>
      <color theme="1"/>
      <name val="Arial"/>
      <family val="2"/>
      <scheme val="minor"/>
    </font>
    <font>
      <sz val="11"/>
      <name val="Arial"/>
      <family val="2"/>
      <scheme val="minor"/>
    </font>
    <font>
      <sz val="11"/>
      <color theme="1"/>
      <name val="Arial"/>
      <family val="2"/>
      <scheme val="major"/>
    </font>
    <font>
      <u/>
      <sz val="11"/>
      <color theme="1"/>
      <name val="Arial"/>
      <family val="2"/>
      <scheme val="minor"/>
    </font>
    <font>
      <u/>
      <sz val="11"/>
      <color theme="1"/>
      <name val="Arial"/>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4" tint="-0.499984740745262"/>
        <bgColor indexed="64"/>
      </patternFill>
    </fill>
  </fills>
  <borders count="11">
    <border>
      <left/>
      <right/>
      <top/>
      <bottom/>
      <diagonal/>
    </border>
    <border>
      <left style="thin">
        <color theme="4" tint="0.79998168889431442"/>
      </left>
      <right style="thin">
        <color theme="0"/>
      </right>
      <top/>
      <bottom/>
      <diagonal/>
    </border>
    <border>
      <left/>
      <right style="thin">
        <color theme="4" tint="0.79998168889431442"/>
      </right>
      <top/>
      <bottom/>
      <diagonal/>
    </border>
    <border>
      <left style="thin">
        <color theme="0"/>
      </left>
      <right/>
      <top/>
      <bottom/>
      <diagonal/>
    </border>
    <border>
      <left style="thin">
        <color theme="0"/>
      </left>
      <right/>
      <top style="thin">
        <color theme="0"/>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diagonal/>
    </border>
    <border>
      <left/>
      <right/>
      <top/>
      <bottom style="thin">
        <color theme="4" tint="-0.499984740745262"/>
      </bottom>
      <diagonal/>
    </border>
    <border>
      <left style="thin">
        <color theme="4" tint="0.79998168889431442"/>
      </left>
      <right/>
      <top/>
      <bottom/>
      <diagonal/>
    </border>
    <border>
      <left/>
      <right style="thin">
        <color theme="4" tint="-0.499984740745262"/>
      </right>
      <top/>
      <bottom/>
      <diagonal/>
    </border>
    <border>
      <left style="thin">
        <color theme="0"/>
      </left>
      <right style="thin">
        <color theme="0"/>
      </right>
      <top/>
      <bottom/>
      <diagonal/>
    </border>
  </borders>
  <cellStyleXfs count="22">
    <xf numFmtId="0" fontId="0" fillId="0" borderId="0">
      <alignment wrapText="1"/>
    </xf>
    <xf numFmtId="0" fontId="12" fillId="0" borderId="0" applyFill="0" applyBorder="0" applyProtection="0">
      <alignment horizontal="center" vertical="center"/>
    </xf>
    <xf numFmtId="169" fontId="7" fillId="0" borderId="0" applyFill="0" applyBorder="0" applyProtection="0">
      <alignment horizontal="center" vertical="center"/>
    </xf>
    <xf numFmtId="0" fontId="8" fillId="0" borderId="0" applyFill="0" applyProtection="0">
      <alignment horizontal="left" vertical="center" indent="2"/>
    </xf>
    <xf numFmtId="0" fontId="9" fillId="0" borderId="0" applyNumberFormat="0" applyFill="0" applyBorder="0" applyProtection="0">
      <alignment horizontal="left" vertical="center"/>
    </xf>
    <xf numFmtId="0" fontId="9" fillId="0" borderId="0" applyFill="0" applyBorder="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5" fillId="3" borderId="5" applyNumberFormat="0" applyAlignment="0" applyProtection="0"/>
    <xf numFmtId="0" fontId="6" fillId="4" borderId="1">
      <alignment horizontal="left" indent="1"/>
    </xf>
    <xf numFmtId="0" fontId="10" fillId="0" borderId="0">
      <alignment vertical="center"/>
    </xf>
    <xf numFmtId="0" fontId="10" fillId="0" borderId="6" applyNumberFormat="0" applyFont="0" applyFill="0" applyAlignment="0" applyProtection="0">
      <alignment horizontal="left" vertical="center" indent="2"/>
    </xf>
    <xf numFmtId="1" fontId="11" fillId="0" borderId="0" applyFill="0" applyBorder="0">
      <alignment horizontal="center"/>
    </xf>
    <xf numFmtId="0" fontId="13" fillId="0" borderId="7" applyNumberFormat="0" applyFont="0" applyFill="0" applyAlignment="0" applyProtection="0">
      <alignment horizontal="center"/>
    </xf>
    <xf numFmtId="0" fontId="13" fillId="0" borderId="9" applyNumberFormat="0" applyFont="0" applyFill="0" applyAlignment="0" applyProtection="0"/>
    <xf numFmtId="168" fontId="4" fillId="0" borderId="0" applyNumberFormat="0" applyFill="0" applyBorder="0">
      <alignment horizontal="left" vertical="center" indent="1"/>
    </xf>
    <xf numFmtId="0" fontId="13" fillId="2" borderId="0" applyFont="0" applyBorder="0">
      <alignment horizontal="left" vertical="top" indent="1"/>
    </xf>
    <xf numFmtId="0" fontId="6" fillId="0" borderId="0" applyNumberFormat="0" applyFill="0" applyBorder="0" applyAlignment="0">
      <alignment wrapText="1"/>
    </xf>
    <xf numFmtId="20" fontId="13" fillId="2" borderId="0" applyFill="0" applyBorder="0">
      <alignment horizontal="left" indent="1"/>
    </xf>
  </cellStyleXfs>
  <cellXfs count="86">
    <xf numFmtId="0" fontId="0" fillId="0" borderId="0" xfId="0">
      <alignment wrapText="1"/>
    </xf>
    <xf numFmtId="0" fontId="0" fillId="0" borderId="0" xfId="0" applyFont="1">
      <alignment wrapText="1"/>
    </xf>
    <xf numFmtId="0" fontId="0" fillId="0" borderId="0" xfId="0">
      <alignment wrapText="1"/>
    </xf>
    <xf numFmtId="0" fontId="9" fillId="0" borderId="6" xfId="14" applyFont="1" applyAlignment="1">
      <alignment vertical="center"/>
    </xf>
    <xf numFmtId="168" fontId="4" fillId="0" borderId="0" xfId="18" applyNumberFormat="1" applyFill="1" applyBorder="1">
      <alignment horizontal="left" vertical="center" indent="1"/>
    </xf>
    <xf numFmtId="0" fontId="4" fillId="0" borderId="6" xfId="14" applyNumberFormat="1" applyFont="1" applyAlignment="1">
      <alignment horizontal="left" vertical="center" indent="1"/>
    </xf>
    <xf numFmtId="0" fontId="0" fillId="0" borderId="0" xfId="14" applyFont="1" applyBorder="1" applyAlignment="1">
      <alignment wrapText="1"/>
    </xf>
    <xf numFmtId="0" fontId="9" fillId="0" borderId="0" xfId="5"/>
    <xf numFmtId="0" fontId="8" fillId="0" borderId="0" xfId="3">
      <alignment horizontal="left" vertical="center" indent="2"/>
    </xf>
    <xf numFmtId="0" fontId="12" fillId="0" borderId="0" xfId="1">
      <alignment horizontal="center" vertical="center"/>
    </xf>
    <xf numFmtId="0" fontId="0" fillId="0" borderId="9" xfId="17" applyFont="1" applyAlignment="1">
      <alignment wrapText="1"/>
    </xf>
    <xf numFmtId="0" fontId="9" fillId="0" borderId="0" xfId="4">
      <alignment horizontal="left" vertical="center"/>
    </xf>
    <xf numFmtId="0" fontId="0" fillId="0" borderId="0" xfId="0">
      <alignment wrapText="1"/>
    </xf>
    <xf numFmtId="0" fontId="0" fillId="0" borderId="7" xfId="16" applyFont="1" applyAlignment="1">
      <alignment wrapText="1"/>
    </xf>
    <xf numFmtId="1" fontId="11" fillId="0" borderId="7" xfId="15" applyBorder="1">
      <alignment horizontal="center"/>
    </xf>
    <xf numFmtId="0" fontId="6" fillId="0" borderId="0" xfId="20">
      <alignment wrapText="1"/>
    </xf>
    <xf numFmtId="0" fontId="9" fillId="0" borderId="7" xfId="5" applyBorder="1"/>
    <xf numFmtId="1" fontId="11" fillId="0" borderId="6" xfId="15" applyBorder="1">
      <alignment horizontal="center"/>
    </xf>
    <xf numFmtId="20" fontId="13" fillId="2" borderId="0" xfId="21">
      <alignment horizontal="left" indent="1"/>
    </xf>
    <xf numFmtId="20" fontId="13" fillId="2" borderId="3" xfId="21" applyBorder="1">
      <alignment horizontal="left" indent="1"/>
    </xf>
    <xf numFmtId="169" fontId="7" fillId="0" borderId="6" xfId="2" applyBorder="1">
      <alignment horizontal="center" vertical="center"/>
    </xf>
    <xf numFmtId="20" fontId="13" fillId="2" borderId="4" xfId="21" applyBorder="1">
      <alignment horizontal="left" indent="1"/>
    </xf>
    <xf numFmtId="0" fontId="6" fillId="4" borderId="1" xfId="12">
      <alignment horizontal="left" indent="1"/>
    </xf>
    <xf numFmtId="0" fontId="6" fillId="0" borderId="9" xfId="20" applyBorder="1" applyAlignment="1">
      <alignment wrapText="1"/>
    </xf>
    <xf numFmtId="0" fontId="0" fillId="2" borderId="0" xfId="19" applyFont="1">
      <alignment horizontal="left" vertical="top" indent="1"/>
    </xf>
    <xf numFmtId="0" fontId="0" fillId="2" borderId="7" xfId="19" applyFont="1" applyBorder="1">
      <alignment horizontal="left" vertical="top" indent="1"/>
    </xf>
    <xf numFmtId="0" fontId="1" fillId="2" borderId="0" xfId="19" applyFont="1">
      <alignment horizontal="left" vertical="top" indent="1"/>
    </xf>
    <xf numFmtId="0" fontId="9" fillId="0" borderId="6" xfId="5" applyBorder="1"/>
    <xf numFmtId="0" fontId="1" fillId="2" borderId="7" xfId="19" applyFont="1" applyBorder="1">
      <alignment horizontal="left" vertical="top" indent="1"/>
    </xf>
    <xf numFmtId="0" fontId="13" fillId="2" borderId="7" xfId="19" applyBorder="1">
      <alignment horizontal="left" vertical="top" indent="1"/>
    </xf>
    <xf numFmtId="0" fontId="9" fillId="0" borderId="7" xfId="5" applyFill="1" applyBorder="1"/>
    <xf numFmtId="0" fontId="6" fillId="4" borderId="0" xfId="17" applyFont="1" applyFill="1" applyBorder="1" applyAlignment="1">
      <alignment horizontal="left" indent="1"/>
    </xf>
    <xf numFmtId="0" fontId="9" fillId="0" borderId="0" xfId="5" applyBorder="1"/>
    <xf numFmtId="1" fontId="11" fillId="0" borderId="0" xfId="15" applyBorder="1">
      <alignment horizontal="center"/>
    </xf>
    <xf numFmtId="1" fontId="11" fillId="0" borderId="7" xfId="15" applyFill="1" applyBorder="1">
      <alignment horizontal="center"/>
    </xf>
    <xf numFmtId="0" fontId="0" fillId="0" borderId="0" xfId="0" applyBorder="1" applyAlignment="1">
      <alignment wrapText="1"/>
    </xf>
    <xf numFmtId="0" fontId="0" fillId="0" borderId="7" xfId="16" applyNumberFormat="1" applyFont="1" applyAlignment="1">
      <alignment wrapText="1"/>
    </xf>
    <xf numFmtId="0" fontId="3" fillId="0" borderId="7" xfId="16" applyNumberFormat="1" applyFont="1" applyAlignment="1">
      <alignment wrapText="1"/>
    </xf>
    <xf numFmtId="0" fontId="13" fillId="0" borderId="7" xfId="16" applyNumberFormat="1" applyFill="1" applyAlignment="1"/>
    <xf numFmtId="0" fontId="14" fillId="2" borderId="0" xfId="19" applyFont="1">
      <alignment horizontal="left" vertical="top" indent="1"/>
    </xf>
    <xf numFmtId="0" fontId="15" fillId="0" borderId="0" xfId="0" applyFont="1">
      <alignment wrapText="1"/>
    </xf>
    <xf numFmtId="0" fontId="16" fillId="0" borderId="7" xfId="1" applyFont="1" applyBorder="1">
      <alignment horizontal="center" vertical="center"/>
    </xf>
    <xf numFmtId="0" fontId="17" fillId="0" borderId="0" xfId="13" applyFont="1">
      <alignment vertical="center"/>
    </xf>
    <xf numFmtId="0" fontId="18" fillId="0" borderId="0" xfId="20" applyFont="1">
      <alignment wrapText="1"/>
    </xf>
    <xf numFmtId="0" fontId="19" fillId="0" borderId="0" xfId="3" applyFont="1">
      <alignment horizontal="left" vertical="center" indent="2"/>
    </xf>
    <xf numFmtId="0" fontId="15" fillId="0" borderId="9" xfId="17" applyFont="1" applyAlignment="1">
      <alignment wrapText="1"/>
    </xf>
    <xf numFmtId="169" fontId="20" fillId="0" borderId="0" xfId="2" applyFont="1">
      <alignment horizontal="center" vertical="center"/>
    </xf>
    <xf numFmtId="0" fontId="21" fillId="0" borderId="6" xfId="14" applyNumberFormat="1" applyFont="1" applyAlignment="1">
      <alignment horizontal="left" vertical="center" indent="1"/>
    </xf>
    <xf numFmtId="0" fontId="22" fillId="0" borderId="0" xfId="5" applyFont="1" applyBorder="1"/>
    <xf numFmtId="1" fontId="23" fillId="0" borderId="0" xfId="15" applyFont="1" applyBorder="1">
      <alignment horizontal="center"/>
    </xf>
    <xf numFmtId="0" fontId="15" fillId="0" borderId="0" xfId="0" applyFont="1" applyBorder="1" applyAlignment="1">
      <alignment wrapText="1"/>
    </xf>
    <xf numFmtId="168" fontId="21" fillId="0" borderId="0" xfId="18" applyNumberFormat="1" applyFont="1" applyFill="1" applyBorder="1">
      <alignment horizontal="left" vertical="center" indent="1"/>
    </xf>
    <xf numFmtId="0" fontId="22" fillId="0" borderId="7" xfId="5" applyFont="1" applyBorder="1"/>
    <xf numFmtId="1" fontId="23" fillId="0" borderId="7" xfId="15" applyFont="1" applyBorder="1">
      <alignment horizontal="center"/>
    </xf>
    <xf numFmtId="0" fontId="15" fillId="0" borderId="7" xfId="16" applyNumberFormat="1" applyFont="1" applyAlignment="1">
      <alignment wrapText="1"/>
    </xf>
    <xf numFmtId="0" fontId="15" fillId="0" borderId="7" xfId="16" applyFont="1" applyAlignment="1">
      <alignment wrapText="1"/>
    </xf>
    <xf numFmtId="168" fontId="21" fillId="0" borderId="7" xfId="18" applyNumberFormat="1" applyFont="1" applyFill="1" applyBorder="1">
      <alignment horizontal="left" vertical="center" indent="1"/>
    </xf>
    <xf numFmtId="0" fontId="15" fillId="0" borderId="6" xfId="14" applyFont="1" applyAlignment="1">
      <alignment wrapText="1"/>
    </xf>
    <xf numFmtId="0" fontId="22" fillId="0" borderId="0" xfId="4" applyFont="1">
      <alignment horizontal="left" vertical="center"/>
    </xf>
    <xf numFmtId="0" fontId="15" fillId="0" borderId="0" xfId="14" applyFont="1" applyBorder="1" applyAlignment="1">
      <alignment wrapText="1"/>
    </xf>
    <xf numFmtId="0" fontId="18" fillId="0" borderId="9" xfId="20" applyFont="1" applyBorder="1" applyAlignment="1">
      <alignment wrapText="1"/>
    </xf>
    <xf numFmtId="0" fontId="18" fillId="4" borderId="1" xfId="12" applyFont="1">
      <alignment horizontal="left" indent="1"/>
    </xf>
    <xf numFmtId="0" fontId="18" fillId="4" borderId="0" xfId="17" applyFont="1" applyFill="1" applyBorder="1" applyAlignment="1">
      <alignment horizontal="left" indent="1"/>
    </xf>
    <xf numFmtId="20" fontId="24" fillId="2" borderId="0" xfId="21" applyFont="1">
      <alignment horizontal="left" indent="1"/>
    </xf>
    <xf numFmtId="20" fontId="24" fillId="2" borderId="0" xfId="21" applyFont="1" applyBorder="1">
      <alignment horizontal="left" indent="1"/>
    </xf>
    <xf numFmtId="0" fontId="15" fillId="2" borderId="0" xfId="19" applyFont="1">
      <alignment horizontal="left" vertical="top" indent="1"/>
    </xf>
    <xf numFmtId="0" fontId="15" fillId="2" borderId="0" xfId="19" applyFont="1" applyBorder="1">
      <alignment horizontal="left" vertical="top" indent="1"/>
    </xf>
    <xf numFmtId="0" fontId="25" fillId="2" borderId="0" xfId="19" applyFont="1" applyBorder="1">
      <alignment horizontal="left" vertical="top" indent="1"/>
    </xf>
    <xf numFmtId="20" fontId="24" fillId="2" borderId="9" xfId="21" applyFont="1" applyBorder="1">
      <alignment horizontal="left" indent="1"/>
    </xf>
    <xf numFmtId="0" fontId="15" fillId="2" borderId="7" xfId="19" applyFont="1" applyBorder="1">
      <alignment horizontal="left" vertical="top" indent="1"/>
    </xf>
    <xf numFmtId="0" fontId="22" fillId="0" borderId="0" xfId="5" applyFont="1" applyFill="1" applyBorder="1"/>
    <xf numFmtId="0" fontId="26" fillId="0" borderId="0" xfId="0" applyFont="1">
      <alignment wrapText="1"/>
    </xf>
    <xf numFmtId="0" fontId="27" fillId="0" borderId="0" xfId="0" applyFont="1">
      <alignment wrapText="1"/>
    </xf>
    <xf numFmtId="0" fontId="18" fillId="4" borderId="8" xfId="12" applyFont="1" applyBorder="1">
      <alignment horizontal="left" indent="1"/>
    </xf>
    <xf numFmtId="0" fontId="18" fillId="4" borderId="2" xfId="12" applyFont="1" applyBorder="1">
      <alignment horizontal="left" indent="1"/>
    </xf>
    <xf numFmtId="20" fontId="24" fillId="2" borderId="10" xfId="21" applyFont="1" applyBorder="1">
      <alignment horizontal="left" indent="1"/>
    </xf>
    <xf numFmtId="0" fontId="15" fillId="2" borderId="0" xfId="19" applyFont="1">
      <alignment horizontal="left" vertical="top" indent="1"/>
    </xf>
    <xf numFmtId="0" fontId="15" fillId="2" borderId="7" xfId="19" applyFont="1" applyBorder="1">
      <alignment horizontal="left" vertical="top" indent="1"/>
    </xf>
    <xf numFmtId="20" fontId="24" fillId="2" borderId="0" xfId="21" applyFont="1">
      <alignment horizontal="left" indent="1"/>
    </xf>
    <xf numFmtId="0" fontId="13" fillId="2" borderId="7" xfId="19" applyBorder="1">
      <alignment horizontal="left" vertical="top" indent="1"/>
    </xf>
    <xf numFmtId="0" fontId="1" fillId="2" borderId="0" xfId="19" applyFont="1">
      <alignment horizontal="left" vertical="top" indent="1"/>
    </xf>
    <xf numFmtId="20" fontId="13" fillId="2" borderId="0" xfId="21">
      <alignment horizontal="left" indent="1"/>
    </xf>
    <xf numFmtId="0" fontId="6" fillId="4" borderId="8" xfId="12" applyBorder="1">
      <alignment horizontal="left" indent="1"/>
    </xf>
    <xf numFmtId="0" fontId="6" fillId="4" borderId="2" xfId="12" applyBorder="1">
      <alignment horizontal="left" indent="1"/>
    </xf>
    <xf numFmtId="20" fontId="13" fillId="2" borderId="10" xfId="21" applyBorder="1">
      <alignment horizontal="left" indent="1"/>
    </xf>
    <xf numFmtId="0" fontId="1" fillId="2" borderId="7" xfId="19" applyFont="1" applyBorder="1">
      <alignment horizontal="left" vertical="top" indent="1"/>
    </xf>
  </cellXfs>
  <cellStyles count="22">
    <cellStyle name="Alinhamento do calendário" xfId="18" xr:uid="{00000000-0005-0000-0000-000000000000}"/>
    <cellStyle name="Borda direita" xfId="17" xr:uid="{00000000-0005-0000-0000-000001000000}"/>
    <cellStyle name="Borda inferior" xfId="16" xr:uid="{00000000-0005-0000-0000-000002000000}"/>
    <cellStyle name="Borda superior" xfId="14" xr:uid="{00000000-0005-0000-0000-000003000000}"/>
    <cellStyle name="Data" xfId="15" xr:uid="{00000000-0005-0000-0000-000004000000}"/>
    <cellStyle name="Dias da semana" xfId="12" xr:uid="{00000000-0005-0000-0000-000005000000}"/>
    <cellStyle name="Hora" xfId="21" xr:uid="{00000000-0005-0000-0000-000006000000}"/>
    <cellStyle name="Moeda" xfId="8" builtinId="4" customBuiltin="1"/>
    <cellStyle name="Moeda [0]" xfId="9" builtinId="7" customBuiltin="1"/>
    <cellStyle name="Normal" xfId="0" builtinId="0" customBuiltin="1"/>
    <cellStyle name="Nota" xfId="11" builtinId="10" customBuiltin="1"/>
    <cellStyle name="Porcentagem" xfId="10" builtinId="5" customBuiltin="1"/>
    <cellStyle name="Preenchimento da programação semanal" xfId="19" xr:uid="{00000000-0005-0000-0000-00000C000000}"/>
    <cellStyle name="Rótulo" xfId="13" xr:uid="{00000000-0005-0000-0000-00000D000000}"/>
    <cellStyle name="Separador de milhares [0]" xfId="7" builtinId="6"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ítulo da borda em branco" xfId="20" xr:uid="{00000000-0005-0000-0000-000014000000}"/>
    <cellStyle name="Vírgula" xfId="6" builtinId="3" customBuiltin="1"/>
  </cellStyles>
  <dxfs count="101">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left style="thin">
          <color theme="0"/>
        </left>
        <vertical/>
        <horizontal/>
      </border>
    </dxf>
    <dxf>
      <border>
        <left style="thin">
          <color theme="0"/>
        </left>
        <bottom style="thin">
          <color theme="0"/>
        </bottom>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val="0"/>
        <i val="0"/>
      </font>
      <fill>
        <patternFill>
          <bgColor theme="4" tint="0.79998168889431442"/>
        </patternFill>
      </fill>
      <border>
        <vertical/>
        <horizontal/>
      </border>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i val="0"/>
        <color theme="4" tint="-0.499984740745262"/>
      </font>
      <border diagonalUp="0" diagonalDown="0">
        <left style="thin">
          <color theme="4" tint="-0.499984740745262"/>
        </left>
        <right/>
        <top/>
        <bottom style="thin">
          <color theme="4" tint="-0.499984740745262"/>
        </bottom>
        <vertical/>
        <horizontal/>
      </border>
    </dxf>
    <dxf>
      <font>
        <b/>
        <i val="0"/>
        <color theme="4" tint="-0.499984740745262"/>
      </font>
      <border diagonalUp="0" diagonalDown="0">
        <left/>
        <right/>
        <top/>
        <bottom style="thin">
          <color theme="4" tint="-0.499984740745262"/>
        </bottom>
        <vertical/>
        <horizontal/>
      </border>
    </dxf>
    <dxf>
      <border>
        <left style="thin">
          <color theme="4" tint="-0.499984740745262"/>
        </left>
        <right style="thin">
          <color theme="4" tint="-0.499984740745262"/>
        </right>
        <top style="thin">
          <color theme="4" tint="-0.499984740745262"/>
        </top>
        <bottom style="thin">
          <color theme="4" tint="-0.499984740745262"/>
        </bottom>
        <horizontal style="thin">
          <color theme="5" tint="-0.499984740745262"/>
        </horizontal>
      </border>
    </dxf>
  </dxfs>
  <tableStyles count="1" defaultTableStyle="Tarefas" defaultPivotStyle="PivotStyleLight16">
    <tableStyle name="Tarefas" pivot="0" count="3" xr9:uid="{00000000-0011-0000-FFFF-FFFF00000000}">
      <tableStyleElement type="wholeTable" dxfId="100"/>
      <tableStyleElement type="headerRow" dxfId="99"/>
      <tableStyleElement type="firstColumn"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refas_de_janeiro" displayName="Tarefas_de_janeiro" ref="J1:L31" totalsRowShown="0">
  <autoFilter ref="J1:L31" xr:uid="{00000000-0009-0000-0100-000001000000}">
    <filterColumn colId="0" hiddenButton="1"/>
    <filterColumn colId="1" hiddenButton="1"/>
    <filterColumn colId="2" hiddenButton="1"/>
  </autoFilter>
  <tableColumns count="3">
    <tableColumn id="1" xr3:uid="{00000000-0010-0000-0000-000001000000}" name="Dia da semana" dataCellStyle="Título 4"/>
    <tableColumn id="2" xr3:uid="{00000000-0010-0000-0000-000002000000}" name="dia do calendário" dataCellStyle="Data"/>
    <tableColumn id="3" xr3:uid="{00000000-0010-0000-0000-000003000000}" name="TAREFAS" dataDxfId="90"/>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refas_de_outubro" displayName="Tarefas_de_outubro" ref="J1:L31" totalsRowShown="0">
  <autoFilter ref="J1:L31" xr:uid="{00000000-0009-0000-0100-00000A000000}">
    <filterColumn colId="0" hiddenButton="1"/>
    <filterColumn colId="1" hiddenButton="1"/>
    <filterColumn colId="2" hiddenButton="1"/>
  </autoFilter>
  <tableColumns count="3">
    <tableColumn id="1" xr3:uid="{00000000-0010-0000-0900-000001000000}" name="Dia da semana" dataCellStyle="Título 4"/>
    <tableColumn id="2" xr3:uid="{00000000-0010-0000-0900-000002000000}" name="dia do calendário" dataCellStyle="Data"/>
    <tableColumn id="3" xr3:uid="{00000000-0010-0000-0900-000003000000}" name="TAREFAS" dataDxfId="1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refas_de_novembro" displayName="Tarefas_de_novembro" ref="J1:L31" totalsRowShown="0">
  <autoFilter ref="J1:L31" xr:uid="{00000000-0009-0000-0100-00000B000000}">
    <filterColumn colId="0" hiddenButton="1"/>
    <filterColumn colId="1" hiddenButton="1"/>
    <filterColumn colId="2" hiddenButton="1"/>
  </autoFilter>
  <tableColumns count="3">
    <tableColumn id="1" xr3:uid="{00000000-0010-0000-0A00-000001000000}" name="Dia da semana" dataCellStyle="Título 4"/>
    <tableColumn id="2" xr3:uid="{00000000-0010-0000-0A00-000002000000}" name="dia do calendário" dataCellStyle="Data"/>
    <tableColumn id="3" xr3:uid="{00000000-0010-0000-0A00-000003000000}" name="TAREFAS" dataDxfId="8"/>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refas_de_dezembro" displayName="Tarefas_de_dezembro" ref="J1:L31" totalsRowShown="0" dataCellStyle="Normal">
  <autoFilter ref="J1:L31" xr:uid="{00000000-0009-0000-0100-00000C000000}">
    <filterColumn colId="0" hiddenButton="1"/>
    <filterColumn colId="1" hiddenButton="1"/>
    <filterColumn colId="2" hiddenButton="1"/>
  </autoFilter>
  <tableColumns count="3">
    <tableColumn id="1" xr3:uid="{00000000-0010-0000-0B00-000001000000}" name="Dia da semana" dataCellStyle="Título 4"/>
    <tableColumn id="2" xr3:uid="{00000000-0010-0000-0B00-000002000000}" name="dia do calendário" dataCellStyle="Data"/>
    <tableColumn id="3" xr3:uid="{00000000-0010-0000-0B00-000003000000}" name="TAREFAS" dataDxfId="0" dataCellStyle="Normal"/>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refas_de_fevereiro" displayName="Tarefas_de_fevereiro" ref="J1:L31" totalsRowShown="0">
  <autoFilter ref="J1:L31" xr:uid="{00000000-0009-0000-0100-000002000000}">
    <filterColumn colId="0" hiddenButton="1"/>
    <filterColumn colId="1" hiddenButton="1"/>
    <filterColumn colId="2" hiddenButton="1"/>
  </autoFilter>
  <tableColumns count="3">
    <tableColumn id="1" xr3:uid="{00000000-0010-0000-0100-000001000000}" name="Dia da semana" dataCellStyle="Título 4"/>
    <tableColumn id="2" xr3:uid="{00000000-0010-0000-0100-000002000000}" name="dia do calendário" dataCellStyle="Data"/>
    <tableColumn id="3" xr3:uid="{00000000-0010-0000-0100-000003000000}" name="TAREFAS" dataDxfId="82" dataCellStyle="Normal"/>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refas_de_março" displayName="Tarefas_de_março" ref="J1:L31" totalsRowShown="0">
  <autoFilter ref="J1:L31" xr:uid="{00000000-0009-0000-0100-000003000000}">
    <filterColumn colId="0" hiddenButton="1"/>
    <filterColumn colId="1" hiddenButton="1"/>
    <filterColumn colId="2" hiddenButton="1"/>
  </autoFilter>
  <tableColumns count="3">
    <tableColumn id="1" xr3:uid="{00000000-0010-0000-0200-000001000000}" name="Dia da semana" dataCellStyle="Título 4"/>
    <tableColumn id="2" xr3:uid="{00000000-0010-0000-0200-000002000000}" name="dia do calendário" dataCellStyle="Data"/>
    <tableColumn id="3" xr3:uid="{00000000-0010-0000-0200-000003000000}" name="TAREFAS" dataDxfId="74"/>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refas_de_abril" displayName="Tarefas_de_abril" ref="J1:L31" totalsRowShown="0">
  <autoFilter ref="J1:L31" xr:uid="{00000000-0009-0000-0100-000004000000}">
    <filterColumn colId="0" hiddenButton="1"/>
    <filterColumn colId="1" hiddenButton="1"/>
    <filterColumn colId="2" hiddenButton="1"/>
  </autoFilter>
  <tableColumns count="3">
    <tableColumn id="1" xr3:uid="{00000000-0010-0000-0300-000001000000}" name="Dia da semana" dataCellStyle="Título 4"/>
    <tableColumn id="2" xr3:uid="{00000000-0010-0000-0300-000002000000}" name="dia do calendário" dataCellStyle="Data"/>
    <tableColumn id="3" xr3:uid="{00000000-0010-0000-0300-000003000000}" name="TAREFAS" dataDxfId="6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refas_de_maio" displayName="Tarefas_de_maio" ref="J1:L31" totalsRowShown="0">
  <autoFilter ref="J1:L31" xr:uid="{00000000-0009-0000-0100-000005000000}">
    <filterColumn colId="0" hiddenButton="1"/>
    <filterColumn colId="1" hiddenButton="1"/>
    <filterColumn colId="2" hiddenButton="1"/>
  </autoFilter>
  <tableColumns count="3">
    <tableColumn id="1" xr3:uid="{00000000-0010-0000-0400-000001000000}" name="Dia da semana" dataCellStyle="Título 4"/>
    <tableColumn id="2" xr3:uid="{00000000-0010-0000-0400-000002000000}" name="dia do calendário" dataCellStyle="Data"/>
    <tableColumn id="3" xr3:uid="{00000000-0010-0000-0400-000003000000}" name="TAREFAS" dataDxfId="58"/>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refas_de_junho" displayName="Tarefas_de_junho" ref="J1:L31" totalsRowShown="0">
  <autoFilter ref="J1:L31" xr:uid="{00000000-0009-0000-0100-000006000000}">
    <filterColumn colId="0" hiddenButton="1"/>
    <filterColumn colId="1" hiddenButton="1"/>
    <filterColumn colId="2" hiddenButton="1"/>
  </autoFilter>
  <tableColumns count="3">
    <tableColumn id="1" xr3:uid="{00000000-0010-0000-0500-000001000000}" name="Dia da semana" dataCellStyle="Título 4"/>
    <tableColumn id="2" xr3:uid="{00000000-0010-0000-0500-000002000000}" name="dia do calendário" dataCellStyle="Data"/>
    <tableColumn id="3" xr3:uid="{00000000-0010-0000-0500-000003000000}" name="TAREFAS" dataDxfId="50"/>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refas_de_julho" displayName="Tarefas_de_julho" ref="J1:L31" totalsRowShown="0">
  <autoFilter ref="J1:L31" xr:uid="{00000000-0009-0000-0100-000007000000}">
    <filterColumn colId="0" hiddenButton="1"/>
    <filterColumn colId="1" hiddenButton="1"/>
    <filterColumn colId="2" hiddenButton="1"/>
  </autoFilter>
  <tableColumns count="3">
    <tableColumn id="1" xr3:uid="{00000000-0010-0000-0600-000001000000}" name="Dia da semana" dataCellStyle="Título 4"/>
    <tableColumn id="2" xr3:uid="{00000000-0010-0000-0600-000002000000}" name="dia do calendário" dataCellStyle="Data"/>
    <tableColumn id="3" xr3:uid="{00000000-0010-0000-0600-000003000000}" name="TAREFAS" dataDxfId="42"/>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refas_de_agosto" displayName="Tarefas_de_agosto" ref="J1:L31" totalsRowShown="0">
  <autoFilter ref="J1:L31" xr:uid="{00000000-0009-0000-0100-000008000000}">
    <filterColumn colId="0" hiddenButton="1"/>
    <filterColumn colId="1" hiddenButton="1"/>
    <filterColumn colId="2" hiddenButton="1"/>
  </autoFilter>
  <tableColumns count="3">
    <tableColumn id="1" xr3:uid="{00000000-0010-0000-0700-000001000000}" name="Dia da semana" dataCellStyle="Título 4"/>
    <tableColumn id="2" xr3:uid="{00000000-0010-0000-0700-000002000000}" name="dia do calendário" dataCellStyle="Data"/>
    <tableColumn id="3" xr3:uid="{00000000-0010-0000-0700-000003000000}" name="TAREFAS" dataDxfId="34"/>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refas_de_setembro" displayName="Tarefas_de_setembro" ref="J1:L31" totalsRowShown="0">
  <autoFilter ref="J1:L31" xr:uid="{00000000-0009-0000-0100-000009000000}">
    <filterColumn colId="0" hiddenButton="1"/>
    <filterColumn colId="1" hiddenButton="1"/>
    <filterColumn colId="2" hiddenButton="1"/>
  </autoFilter>
  <tableColumns count="3">
    <tableColumn id="1" xr3:uid="{00000000-0010-0000-0800-000001000000}" name="Dia da semana" dataCellStyle="Título 4"/>
    <tableColumn id="2" xr3:uid="{00000000-0010-0000-0800-000002000000}" name="dia do calendário" dataCellStyle="Data"/>
    <tableColumn id="3" xr3:uid="{00000000-0010-0000-0800-000003000000}" name="TAREFAS" dataDxfId="2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31"/>
  <sheetViews>
    <sheetView showGridLines="0" tabSelected="1" zoomScaleNormal="100" zoomScalePageLayoutView="84" workbookViewId="0">
      <selection activeCell="J4" sqref="J4:L4"/>
    </sheetView>
  </sheetViews>
  <sheetFormatPr defaultColWidth="8.625" defaultRowHeight="30" customHeight="1" x14ac:dyDescent="0.2"/>
  <cols>
    <col min="1" max="1" width="2.625" style="40" customWidth="1"/>
    <col min="2" max="2" width="20.625" style="40" customWidth="1"/>
    <col min="3" max="8" width="10.625" style="40" customWidth="1"/>
    <col min="9" max="9" width="20.625" style="40" customWidth="1"/>
    <col min="10" max="11" width="10.625" style="40" customWidth="1"/>
    <col min="12" max="12" width="70.625" style="40" customWidth="1"/>
    <col min="13" max="13" width="2.625" style="40" customWidth="1"/>
    <col min="14" max="14" width="8.625" style="40" customWidth="1"/>
    <col min="15" max="16384" width="8.625" style="40"/>
  </cols>
  <sheetData>
    <row r="1" spans="1:12" ht="30" customHeight="1" x14ac:dyDescent="0.2">
      <c r="A1" s="72"/>
      <c r="B1" s="41">
        <f ca="1">YEAR(TODAY())</f>
        <v>2019</v>
      </c>
      <c r="C1" s="42" t="s">
        <v>11</v>
      </c>
      <c r="J1" s="43" t="s">
        <v>0</v>
      </c>
      <c r="K1" s="43" t="s">
        <v>23</v>
      </c>
      <c r="L1" s="44" t="s">
        <v>24</v>
      </c>
    </row>
    <row r="2" spans="1:12" ht="30" customHeight="1" x14ac:dyDescent="0.25">
      <c r="A2" s="45"/>
      <c r="B2" s="46" t="s">
        <v>3</v>
      </c>
      <c r="C2" s="47" t="s">
        <v>12</v>
      </c>
      <c r="D2" s="47" t="s">
        <v>5</v>
      </c>
      <c r="E2" s="47" t="s">
        <v>17</v>
      </c>
      <c r="F2" s="47" t="s">
        <v>18</v>
      </c>
      <c r="G2" s="47" t="s">
        <v>19</v>
      </c>
      <c r="H2" s="47" t="s">
        <v>21</v>
      </c>
      <c r="I2" s="47" t="s">
        <v>22</v>
      </c>
      <c r="J2" s="48" t="s">
        <v>5</v>
      </c>
      <c r="K2" s="49">
        <v>2</v>
      </c>
      <c r="L2" s="50" t="s">
        <v>25</v>
      </c>
    </row>
    <row r="3" spans="1:12" ht="30" customHeight="1" x14ac:dyDescent="0.25">
      <c r="A3" s="45"/>
      <c r="C3" s="51">
        <f ca="1">IF(DAY(JanDom1)=1,JanDom1-6,JanDom1+1)</f>
        <v>43464</v>
      </c>
      <c r="D3" s="51">
        <f ca="1">IF(DAY(JanDom1)=1,JanDom1-5,JanDom1+2)</f>
        <v>43465</v>
      </c>
      <c r="E3" s="51">
        <f ca="1">IF(DAY(JanDom1)=1,JanDom1-4,JanDom1+3)</f>
        <v>43466</v>
      </c>
      <c r="F3" s="51">
        <f ca="1">IF(DAY(JanDom1)=1,JanDom1-3,JanDom1+4)</f>
        <v>43467</v>
      </c>
      <c r="G3" s="51">
        <f ca="1">IF(DAY(JanDom1)=1,JanDom1-2,JanDom1+5)</f>
        <v>43468</v>
      </c>
      <c r="H3" s="51">
        <f ca="1">IF(DAY(JanDom1)=1,JanDom1-1,JanDom1+6)</f>
        <v>43469</v>
      </c>
      <c r="I3" s="51">
        <f ca="1">IF(DAY(JanDom1)=1,JanDom1,JanDom1+7)</f>
        <v>43470</v>
      </c>
      <c r="J3" s="48"/>
      <c r="K3" s="49"/>
      <c r="L3" s="50"/>
    </row>
    <row r="4" spans="1:12" ht="30" customHeight="1" x14ac:dyDescent="0.25">
      <c r="A4" s="45"/>
      <c r="C4" s="51">
        <f ca="1">IF(DAY(JanDom1)=1,JanDom1+1,JanDom1+8)</f>
        <v>43471</v>
      </c>
      <c r="D4" s="51">
        <f ca="1">IF(DAY(JanDom1)=1,JanDom1+2,JanDom1+9)</f>
        <v>43472</v>
      </c>
      <c r="E4" s="51">
        <f ca="1">IF(DAY(JanDom1)=1,JanDom1+3,JanDom1+10)</f>
        <v>43473</v>
      </c>
      <c r="F4" s="51">
        <f ca="1">IF(DAY(JanDom1)=1,JanDom1+4,JanDom1+11)</f>
        <v>43474</v>
      </c>
      <c r="G4" s="51">
        <f ca="1">IF(DAY(JanDom1)=1,JanDom1+5,JanDom1+12)</f>
        <v>43475</v>
      </c>
      <c r="H4" s="51">
        <f ca="1">IF(DAY(JanDom1)=1,JanDom1+6,JanDom1+13)</f>
        <v>43476</v>
      </c>
      <c r="I4" s="51">
        <f ca="1">IF(DAY(JanDom1)=1,JanDom1+7,JanDom1+14)</f>
        <v>43477</v>
      </c>
      <c r="J4" s="48"/>
      <c r="K4" s="49"/>
      <c r="L4" s="50"/>
    </row>
    <row r="5" spans="1:12" ht="30" customHeight="1" x14ac:dyDescent="0.25">
      <c r="A5" s="45"/>
      <c r="C5" s="51">
        <f ca="1">IF(DAY(JanDom1)=1,JanDom1+8,JanDom1+15)</f>
        <v>43478</v>
      </c>
      <c r="D5" s="51">
        <f ca="1">IF(DAY(JanDom1)=1,JanDom1+9,JanDom1+16)</f>
        <v>43479</v>
      </c>
      <c r="E5" s="51">
        <f ca="1">IF(DAY(JanDom1)=1,JanDom1+10,JanDom1+17)</f>
        <v>43480</v>
      </c>
      <c r="F5" s="51">
        <f ca="1">IF(DAY(JanDom1)=1,JanDom1+11,JanDom1+18)</f>
        <v>43481</v>
      </c>
      <c r="G5" s="51">
        <f ca="1">IF(DAY(JanDom1)=1,JanDom1+12,JanDom1+19)</f>
        <v>43482</v>
      </c>
      <c r="H5" s="51">
        <f ca="1">IF(DAY(JanDom1)=1,JanDom1+13,JanDom1+20)</f>
        <v>43483</v>
      </c>
      <c r="I5" s="51">
        <f ca="1">IF(DAY(JanDom1)=1,JanDom1+14,JanDom1+21)</f>
        <v>43484</v>
      </c>
      <c r="J5" s="48"/>
      <c r="K5" s="49"/>
      <c r="L5" s="50"/>
    </row>
    <row r="6" spans="1:12" ht="30" customHeight="1" x14ac:dyDescent="0.25">
      <c r="A6" s="45"/>
      <c r="C6" s="51">
        <f ca="1">IF(DAY(JanDom1)=1,JanDom1+15,JanDom1+22)</f>
        <v>43485</v>
      </c>
      <c r="D6" s="51">
        <f ca="1">IF(DAY(JanDom1)=1,JanDom1+16,JanDom1+23)</f>
        <v>43486</v>
      </c>
      <c r="E6" s="51">
        <f ca="1">IF(DAY(JanDom1)=1,JanDom1+17,JanDom1+24)</f>
        <v>43487</v>
      </c>
      <c r="F6" s="51">
        <f ca="1">IF(DAY(JanDom1)=1,JanDom1+18,JanDom1+25)</f>
        <v>43488</v>
      </c>
      <c r="G6" s="51">
        <f ca="1">IF(DAY(JanDom1)=1,JanDom1+19,JanDom1+26)</f>
        <v>43489</v>
      </c>
      <c r="H6" s="51">
        <f ca="1">IF(DAY(JanDom1)=1,JanDom1+20,JanDom1+27)</f>
        <v>43490</v>
      </c>
      <c r="I6" s="51">
        <f ca="1">IF(DAY(JanDom1)=1,JanDom1+21,JanDom1+28)</f>
        <v>43491</v>
      </c>
      <c r="J6" s="48"/>
      <c r="K6" s="49"/>
      <c r="L6" s="50"/>
    </row>
    <row r="7" spans="1:12" ht="30" customHeight="1" x14ac:dyDescent="0.25">
      <c r="A7" s="45"/>
      <c r="C7" s="51">
        <f ca="1">IF(DAY(JanDom1)=1,JanDom1+22,JanDom1+29)</f>
        <v>43492</v>
      </c>
      <c r="D7" s="51">
        <f ca="1">IF(DAY(JanDom1)=1,JanDom1+23,JanDom1+30)</f>
        <v>43493</v>
      </c>
      <c r="E7" s="51">
        <f ca="1">IF(DAY(JanDom1)=1,JanDom1+24,JanDom1+31)</f>
        <v>43494</v>
      </c>
      <c r="F7" s="51">
        <f ca="1">IF(DAY(JanDom1)=1,JanDom1+25,JanDom1+32)</f>
        <v>43495</v>
      </c>
      <c r="G7" s="51">
        <f ca="1">IF(DAY(JanDom1)=1,JanDom1+26,JanDom1+33)</f>
        <v>43496</v>
      </c>
      <c r="H7" s="51">
        <f ca="1">IF(DAY(JanDom1)=1,JanDom1+27,JanDom1+34)</f>
        <v>43497</v>
      </c>
      <c r="I7" s="51">
        <f ca="1">IF(DAY(JanDom1)=1,JanDom1+28,JanDom1+35)</f>
        <v>43498</v>
      </c>
      <c r="J7" s="52"/>
      <c r="K7" s="53"/>
      <c r="L7" s="54"/>
    </row>
    <row r="8" spans="1:12" ht="30" customHeight="1" x14ac:dyDescent="0.25">
      <c r="A8" s="45"/>
      <c r="B8" s="55"/>
      <c r="C8" s="56">
        <f ca="1">IF(DAY(JanDom1)=1,JanDom1+29,JanDom1+36)</f>
        <v>43499</v>
      </c>
      <c r="D8" s="56">
        <f ca="1">IF(DAY(JanDom1)=1,JanDom1+30,JanDom1+37)</f>
        <v>43500</v>
      </c>
      <c r="E8" s="56">
        <f ca="1">IF(DAY(JanDom1)=1,JanDom1+31,JanDom1+38)</f>
        <v>43501</v>
      </c>
      <c r="F8" s="56">
        <f ca="1">IF(DAY(JanDom1)=1,JanDom1+32,JanDom1+39)</f>
        <v>43502</v>
      </c>
      <c r="G8" s="56">
        <f ca="1">IF(DAY(JanDom1)=1,JanDom1+33,JanDom1+40)</f>
        <v>43503</v>
      </c>
      <c r="H8" s="56">
        <f ca="1">IF(DAY(JanDom1)=1,JanDom1+34,JanDom1+41)</f>
        <v>43504</v>
      </c>
      <c r="I8" s="56">
        <f ca="1">IF(DAY(JanDom1)=1,JanDom1+35,JanDom1+42)</f>
        <v>43505</v>
      </c>
      <c r="J8" s="48" t="s">
        <v>17</v>
      </c>
      <c r="K8" s="49">
        <v>17</v>
      </c>
      <c r="L8" s="50" t="s">
        <v>26</v>
      </c>
    </row>
    <row r="9" spans="1:12" ht="30" customHeight="1" x14ac:dyDescent="0.25">
      <c r="A9" s="45"/>
      <c r="C9" s="57"/>
      <c r="D9" s="57"/>
      <c r="E9" s="57"/>
      <c r="F9" s="57"/>
      <c r="G9" s="57"/>
      <c r="H9" s="57"/>
      <c r="I9" s="57"/>
      <c r="J9" s="48"/>
      <c r="K9" s="49"/>
      <c r="L9" s="50"/>
    </row>
    <row r="10" spans="1:12" ht="30" customHeight="1" x14ac:dyDescent="0.25">
      <c r="A10" s="45"/>
      <c r="B10" s="58" t="s">
        <v>4</v>
      </c>
      <c r="C10" s="59"/>
      <c r="D10" s="59"/>
      <c r="E10" s="59"/>
      <c r="F10" s="59"/>
      <c r="G10" s="59"/>
      <c r="H10" s="59"/>
      <c r="I10" s="59"/>
      <c r="J10" s="48"/>
      <c r="K10" s="49"/>
      <c r="L10" s="50"/>
    </row>
    <row r="11" spans="1:12" ht="30" customHeight="1" x14ac:dyDescent="0.25">
      <c r="A11" s="60" t="s">
        <v>0</v>
      </c>
      <c r="B11" s="61" t="s">
        <v>5</v>
      </c>
      <c r="C11" s="73" t="s">
        <v>13</v>
      </c>
      <c r="D11" s="74"/>
      <c r="E11" s="73" t="s">
        <v>18</v>
      </c>
      <c r="F11" s="74"/>
      <c r="G11" s="73" t="s">
        <v>20</v>
      </c>
      <c r="H11" s="74"/>
      <c r="I11" s="62" t="s">
        <v>21</v>
      </c>
      <c r="J11" s="48"/>
      <c r="K11" s="49"/>
      <c r="L11" s="50"/>
    </row>
    <row r="12" spans="1:12" ht="30" customHeight="1" x14ac:dyDescent="0.25">
      <c r="A12" s="60" t="s">
        <v>1</v>
      </c>
      <c r="B12" s="63" t="s">
        <v>6</v>
      </c>
      <c r="C12" s="75"/>
      <c r="D12" s="75"/>
      <c r="E12" s="75" t="s">
        <v>6</v>
      </c>
      <c r="F12" s="75"/>
      <c r="G12" s="75"/>
      <c r="H12" s="75"/>
      <c r="I12" s="64" t="s">
        <v>6</v>
      </c>
      <c r="J12" s="48"/>
      <c r="K12" s="49"/>
      <c r="L12" s="50"/>
    </row>
    <row r="13" spans="1:12" ht="30" customHeight="1" x14ac:dyDescent="0.25">
      <c r="A13" s="60" t="s">
        <v>2</v>
      </c>
      <c r="B13" s="65" t="s">
        <v>7</v>
      </c>
      <c r="C13" s="76"/>
      <c r="D13" s="76"/>
      <c r="E13" s="76" t="s">
        <v>7</v>
      </c>
      <c r="F13" s="76"/>
      <c r="G13" s="76"/>
      <c r="H13" s="76"/>
      <c r="I13" s="66" t="s">
        <v>7</v>
      </c>
      <c r="J13" s="52"/>
      <c r="K13" s="53"/>
      <c r="L13" s="54"/>
    </row>
    <row r="14" spans="1:12" ht="30" customHeight="1" x14ac:dyDescent="0.25">
      <c r="A14" s="60" t="s">
        <v>1</v>
      </c>
      <c r="B14" s="63"/>
      <c r="C14" s="75" t="s">
        <v>14</v>
      </c>
      <c r="D14" s="75"/>
      <c r="E14" s="75"/>
      <c r="F14" s="75"/>
      <c r="G14" s="75" t="s">
        <v>14</v>
      </c>
      <c r="H14" s="75"/>
      <c r="I14" s="64"/>
      <c r="J14" s="48" t="s">
        <v>18</v>
      </c>
      <c r="K14" s="49"/>
      <c r="L14" s="50"/>
    </row>
    <row r="15" spans="1:12" ht="30" customHeight="1" x14ac:dyDescent="0.25">
      <c r="A15" s="60" t="s">
        <v>2</v>
      </c>
      <c r="B15" s="65"/>
      <c r="C15" s="76" t="s">
        <v>15</v>
      </c>
      <c r="D15" s="76"/>
      <c r="E15" s="76"/>
      <c r="F15" s="76"/>
      <c r="G15" s="76" t="s">
        <v>15</v>
      </c>
      <c r="H15" s="76"/>
      <c r="I15" s="66"/>
      <c r="J15" s="48"/>
      <c r="K15" s="49"/>
      <c r="L15" s="50"/>
    </row>
    <row r="16" spans="1:12" ht="30" customHeight="1" x14ac:dyDescent="0.25">
      <c r="A16" s="60" t="s">
        <v>1</v>
      </c>
      <c r="B16" s="63" t="s">
        <v>8</v>
      </c>
      <c r="C16" s="75"/>
      <c r="D16" s="75"/>
      <c r="E16" s="75" t="s">
        <v>8</v>
      </c>
      <c r="F16" s="75"/>
      <c r="G16" s="75"/>
      <c r="H16" s="75"/>
      <c r="I16" s="64" t="s">
        <v>8</v>
      </c>
      <c r="J16" s="48"/>
      <c r="K16" s="49"/>
      <c r="L16" s="50"/>
    </row>
    <row r="17" spans="1:12" ht="30" customHeight="1" x14ac:dyDescent="0.25">
      <c r="A17" s="60" t="s">
        <v>2</v>
      </c>
      <c r="B17" s="65" t="s">
        <v>9</v>
      </c>
      <c r="C17" s="76"/>
      <c r="D17" s="76"/>
      <c r="E17" s="76" t="s">
        <v>9</v>
      </c>
      <c r="F17" s="76"/>
      <c r="G17" s="76"/>
      <c r="H17" s="76"/>
      <c r="I17" s="66" t="s">
        <v>9</v>
      </c>
      <c r="J17" s="48"/>
      <c r="K17" s="49"/>
      <c r="L17" s="50"/>
    </row>
    <row r="18" spans="1:12" ht="30" customHeight="1" x14ac:dyDescent="0.25">
      <c r="A18" s="60" t="s">
        <v>1</v>
      </c>
      <c r="B18" s="63"/>
      <c r="C18" s="75"/>
      <c r="D18" s="75"/>
      <c r="E18" s="75"/>
      <c r="F18" s="75"/>
      <c r="G18" s="75"/>
      <c r="H18" s="75"/>
      <c r="I18" s="64"/>
      <c r="J18" s="48"/>
      <c r="K18" s="49"/>
      <c r="L18" s="50"/>
    </row>
    <row r="19" spans="1:12" ht="30" customHeight="1" x14ac:dyDescent="0.25">
      <c r="A19" s="60" t="s">
        <v>2</v>
      </c>
      <c r="B19" s="65"/>
      <c r="C19" s="76"/>
      <c r="D19" s="76"/>
      <c r="E19" s="76"/>
      <c r="F19" s="76"/>
      <c r="G19" s="76"/>
      <c r="H19" s="76"/>
      <c r="I19" s="67"/>
      <c r="J19" s="52"/>
      <c r="K19" s="53"/>
      <c r="L19" s="54"/>
    </row>
    <row r="20" spans="1:12" ht="30" customHeight="1" x14ac:dyDescent="0.25">
      <c r="A20" s="60" t="s">
        <v>1</v>
      </c>
      <c r="B20" s="63"/>
      <c r="C20" s="75"/>
      <c r="D20" s="75"/>
      <c r="E20" s="75"/>
      <c r="F20" s="75"/>
      <c r="G20" s="75"/>
      <c r="H20" s="75"/>
      <c r="I20" s="64"/>
      <c r="J20" s="48" t="s">
        <v>19</v>
      </c>
      <c r="K20" s="49"/>
      <c r="L20" s="50"/>
    </row>
    <row r="21" spans="1:12" ht="30" customHeight="1" x14ac:dyDescent="0.25">
      <c r="A21" s="60" t="s">
        <v>2</v>
      </c>
      <c r="B21" s="65"/>
      <c r="C21" s="76"/>
      <c r="D21" s="76"/>
      <c r="E21" s="76"/>
      <c r="F21" s="76"/>
      <c r="G21" s="76"/>
      <c r="H21" s="76"/>
      <c r="I21" s="66"/>
      <c r="J21" s="48"/>
      <c r="K21" s="49"/>
      <c r="L21" s="50"/>
    </row>
    <row r="22" spans="1:12" ht="30" customHeight="1" x14ac:dyDescent="0.25">
      <c r="A22" s="60" t="s">
        <v>1</v>
      </c>
      <c r="B22" s="63"/>
      <c r="C22" s="75"/>
      <c r="D22" s="75"/>
      <c r="E22" s="75"/>
      <c r="F22" s="75"/>
      <c r="G22" s="75"/>
      <c r="H22" s="75"/>
      <c r="I22" s="64"/>
      <c r="J22" s="48"/>
      <c r="K22" s="49"/>
      <c r="L22" s="50"/>
    </row>
    <row r="23" spans="1:12" ht="30" customHeight="1" x14ac:dyDescent="0.25">
      <c r="A23" s="60" t="s">
        <v>2</v>
      </c>
      <c r="B23" s="65"/>
      <c r="C23" s="76"/>
      <c r="D23" s="76"/>
      <c r="E23" s="76"/>
      <c r="F23" s="76"/>
      <c r="G23" s="76"/>
      <c r="H23" s="76"/>
      <c r="I23" s="66"/>
      <c r="J23" s="48"/>
      <c r="K23" s="49"/>
      <c r="L23" s="50"/>
    </row>
    <row r="24" spans="1:12" ht="30" customHeight="1" x14ac:dyDescent="0.25">
      <c r="A24" s="60" t="s">
        <v>1</v>
      </c>
      <c r="B24" s="68">
        <v>0.58333333333333337</v>
      </c>
      <c r="C24" s="75"/>
      <c r="D24" s="75"/>
      <c r="E24" s="75">
        <v>0.58333333333333337</v>
      </c>
      <c r="F24" s="75"/>
      <c r="G24" s="75"/>
      <c r="H24" s="75"/>
      <c r="I24" s="64">
        <v>0.58333333333333337</v>
      </c>
      <c r="J24" s="48"/>
      <c r="K24" s="49"/>
      <c r="L24" s="50"/>
    </row>
    <row r="25" spans="1:12" ht="30" customHeight="1" x14ac:dyDescent="0.25">
      <c r="A25" s="60" t="s">
        <v>2</v>
      </c>
      <c r="B25" s="65" t="s">
        <v>10</v>
      </c>
      <c r="C25" s="76"/>
      <c r="D25" s="76"/>
      <c r="E25" s="76" t="s">
        <v>10</v>
      </c>
      <c r="F25" s="76"/>
      <c r="G25" s="76"/>
      <c r="H25" s="76"/>
      <c r="I25" s="66" t="s">
        <v>10</v>
      </c>
      <c r="J25" s="52"/>
      <c r="K25" s="53"/>
      <c r="L25" s="54"/>
    </row>
    <row r="26" spans="1:12" ht="30" customHeight="1" x14ac:dyDescent="0.25">
      <c r="A26" s="60" t="s">
        <v>1</v>
      </c>
      <c r="B26" s="63"/>
      <c r="C26" s="75"/>
      <c r="D26" s="75"/>
      <c r="E26" s="75"/>
      <c r="F26" s="75"/>
      <c r="G26" s="75"/>
      <c r="H26" s="75"/>
      <c r="I26" s="64"/>
      <c r="J26" s="48" t="s">
        <v>21</v>
      </c>
      <c r="K26" s="49"/>
      <c r="L26" s="50"/>
    </row>
    <row r="27" spans="1:12" ht="30" customHeight="1" x14ac:dyDescent="0.25">
      <c r="A27" s="60" t="s">
        <v>2</v>
      </c>
      <c r="B27" s="65"/>
      <c r="C27" s="76"/>
      <c r="D27" s="76"/>
      <c r="E27" s="76"/>
      <c r="F27" s="76"/>
      <c r="G27" s="76"/>
      <c r="H27" s="76"/>
      <c r="I27" s="66"/>
      <c r="J27" s="48"/>
      <c r="K27" s="49"/>
      <c r="L27" s="50"/>
    </row>
    <row r="28" spans="1:12" ht="30" customHeight="1" x14ac:dyDescent="0.25">
      <c r="A28" s="60" t="s">
        <v>1</v>
      </c>
      <c r="B28" s="63"/>
      <c r="C28" s="75">
        <v>0.66666666666666663</v>
      </c>
      <c r="D28" s="75"/>
      <c r="E28" s="75"/>
      <c r="F28" s="75"/>
      <c r="G28" s="75">
        <v>0.66666666666666663</v>
      </c>
      <c r="H28" s="75"/>
      <c r="I28" s="64"/>
      <c r="J28" s="48"/>
      <c r="K28" s="49"/>
      <c r="L28" s="50"/>
    </row>
    <row r="29" spans="1:12" ht="30" customHeight="1" x14ac:dyDescent="0.25">
      <c r="A29" s="60" t="s">
        <v>2</v>
      </c>
      <c r="B29" s="65"/>
      <c r="C29" s="76" t="s">
        <v>16</v>
      </c>
      <c r="D29" s="76"/>
      <c r="E29" s="76"/>
      <c r="F29" s="76"/>
      <c r="G29" s="76" t="s">
        <v>16</v>
      </c>
      <c r="H29" s="76"/>
      <c r="I29" s="66"/>
      <c r="J29" s="48"/>
      <c r="K29" s="49"/>
      <c r="L29" s="50"/>
    </row>
    <row r="30" spans="1:12" ht="30" customHeight="1" x14ac:dyDescent="0.25">
      <c r="A30" s="60" t="s">
        <v>1</v>
      </c>
      <c r="B30" s="63"/>
      <c r="C30" s="78"/>
      <c r="D30" s="78"/>
      <c r="E30" s="78"/>
      <c r="F30" s="78"/>
      <c r="G30" s="78"/>
      <c r="H30" s="78"/>
      <c r="I30" s="64"/>
      <c r="J30" s="48"/>
      <c r="K30" s="49"/>
      <c r="L30" s="50"/>
    </row>
    <row r="31" spans="1:12" ht="30" customHeight="1" x14ac:dyDescent="0.25">
      <c r="A31" s="60" t="s">
        <v>2</v>
      </c>
      <c r="B31" s="69"/>
      <c r="C31" s="77"/>
      <c r="D31" s="77"/>
      <c r="E31" s="77"/>
      <c r="F31" s="77"/>
      <c r="G31" s="77"/>
      <c r="H31" s="77"/>
      <c r="I31" s="69"/>
      <c r="J31" s="70"/>
      <c r="K31" s="49"/>
    </row>
  </sheetData>
  <dataConsolidate/>
  <mergeCells count="63">
    <mergeCell ref="E11:F11"/>
    <mergeCell ref="C11:D11"/>
    <mergeCell ref="C17:D17"/>
    <mergeCell ref="C12:D12"/>
    <mergeCell ref="C13:D13"/>
    <mergeCell ref="C14:D14"/>
    <mergeCell ref="C15:D15"/>
    <mergeCell ref="C16:D16"/>
    <mergeCell ref="E14:F14"/>
    <mergeCell ref="E13:F13"/>
    <mergeCell ref="E12:F12"/>
    <mergeCell ref="C31:D31"/>
    <mergeCell ref="C22:D22"/>
    <mergeCell ref="C23:D23"/>
    <mergeCell ref="C24:D24"/>
    <mergeCell ref="C25:D25"/>
    <mergeCell ref="C26:D26"/>
    <mergeCell ref="C27:D27"/>
    <mergeCell ref="C28:D28"/>
    <mergeCell ref="C29:D29"/>
    <mergeCell ref="C30:D30"/>
    <mergeCell ref="C18:D18"/>
    <mergeCell ref="C19:D19"/>
    <mergeCell ref="C20:D20"/>
    <mergeCell ref="C21:D21"/>
    <mergeCell ref="E31:F31"/>
    <mergeCell ref="E30:F30"/>
    <mergeCell ref="E29:F29"/>
    <mergeCell ref="E28:F28"/>
    <mergeCell ref="E27:F27"/>
    <mergeCell ref="E26:F26"/>
    <mergeCell ref="E25:F25"/>
    <mergeCell ref="E24:F24"/>
    <mergeCell ref="E23:F23"/>
    <mergeCell ref="E22:F22"/>
    <mergeCell ref="E21:F21"/>
    <mergeCell ref="E20:F20"/>
    <mergeCell ref="E19:F19"/>
    <mergeCell ref="E18:F18"/>
    <mergeCell ref="E17:F17"/>
    <mergeCell ref="E16:F16"/>
    <mergeCell ref="E15:F15"/>
    <mergeCell ref="G31:H31"/>
    <mergeCell ref="G20:H20"/>
    <mergeCell ref="G21:H21"/>
    <mergeCell ref="G22:H22"/>
    <mergeCell ref="G28:H28"/>
    <mergeCell ref="G29:H29"/>
    <mergeCell ref="G30:H30"/>
    <mergeCell ref="G23:H23"/>
    <mergeCell ref="G24:H24"/>
    <mergeCell ref="G25:H25"/>
    <mergeCell ref="G26:H26"/>
    <mergeCell ref="G18:H18"/>
    <mergeCell ref="G19:H19"/>
    <mergeCell ref="G14:H14"/>
    <mergeCell ref="G15:H15"/>
    <mergeCell ref="G27:H27"/>
    <mergeCell ref="G11:H11"/>
    <mergeCell ref="G12:H12"/>
    <mergeCell ref="G13:H13"/>
    <mergeCell ref="G16:H16"/>
    <mergeCell ref="G17:H17"/>
  </mergeCells>
  <phoneticPr fontId="2" type="noConversion"/>
  <conditionalFormatting sqref="C3:H3">
    <cfRule type="expression" dxfId="97" priority="9" stopIfTrue="1">
      <formula>DAY(C3)&gt;8</formula>
    </cfRule>
  </conditionalFormatting>
  <conditionalFormatting sqref="C7:I8">
    <cfRule type="expression" dxfId="96" priority="8" stopIfTrue="1">
      <formula>AND(DAY(C7)&gt;=1,DAY(C7)&lt;=15)</formula>
    </cfRule>
  </conditionalFormatting>
  <conditionalFormatting sqref="C3:I8">
    <cfRule type="expression" dxfId="95" priority="20">
      <formula>VLOOKUP(DAY(C3),DiasTarefa,1,FALSE)=DAY(C3)</formula>
    </cfRule>
  </conditionalFormatting>
  <conditionalFormatting sqref="B12:I12 B14:I14 B16:I16 B18:I18 B20:I20 B22:I22 B26:I26 B28:I28 B30:I30 B24:I24">
    <cfRule type="expression" dxfId="94" priority="6">
      <formula>B12&lt;&gt;""</formula>
    </cfRule>
  </conditionalFormatting>
  <conditionalFormatting sqref="B13:I13 B15:I15 B17:I17 B19:I19 B21:I21 B23:I23 B25:I25 B27:I27 B29:I29 B31:I31">
    <cfRule type="expression" dxfId="93" priority="4">
      <formula>B13&lt;&gt;""</formula>
    </cfRule>
  </conditionalFormatting>
  <conditionalFormatting sqref="B13:I13 B15:I15 B17:I17 B19:I19 B21:I21 B23:I23 B25:I25 B27:I27 B29:I29">
    <cfRule type="expression" dxfId="92" priority="3">
      <formula>COLUMN(B12)&gt;=2</formula>
    </cfRule>
  </conditionalFormatting>
  <conditionalFormatting sqref="B12:I31">
    <cfRule type="expression" dxfId="91" priority="1">
      <formula>COLUMN(B11)&gt;2</formula>
    </cfRule>
  </conditionalFormatting>
  <dataValidations xWindow="250" yWindow="581" count="13">
    <dataValidation allowBlank="1" showInputMessage="1" showErrorMessage="1" prompt="Insira o ano nesta célula" sqref="B1" xr:uid="{00000000-0002-0000-0000-000000000000}"/>
    <dataValidation allowBlank="1" showInputMessage="1" showErrorMessage="1" prompt="Prepare um cronograma semanal e crie uma lista de tarefas nesta planilha. As entradas da lista de tarefas são automaticamente destacadas no calendário mensal. Insira o ano civil na célula B1" sqref="A1" xr:uid="{00000000-0002-0000-0000-000001000000}"/>
    <dataValidation allowBlank="1" showInputMessage="1" showErrorMessage="1" prompt="O calendário de janeiro destaca automaticamente as entradas da lista de tarefas do mês. As fontes mais escuras são tarefas. As fontes mais claras são dias que pertencem ao mês anterior ou seguinte" sqref="B2" xr:uid="{00000000-0002-0000-0000-000002000000}"/>
    <dataValidation allowBlank="1" showInputMessage="1" showErrorMessage="1" prompt="Se esta célula não contiver o número 1, ela será um dia de um mês anterior. As células C3:I8 contêm datas do mês atual" sqref="C3" xr:uid="{00000000-0002-0000-0000-000003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000-000004000000}"/>
    <dataValidation allowBlank="1" showInputMessage="1" showErrorMessage="1" prompt="Insira a aula nesta linha entre as colunas B e I" sqref="B13" xr:uid="{00000000-0002-0000-0000-000005000000}"/>
    <dataValidation allowBlank="1" showInputMessage="1" showErrorMessage="1" prompt="Insira o dia do mês da tarefa nesta coluna, que corresponde ao dia da semana na coluna J. Essa data destacará a tarefa no calendário à esquerda" sqref="K1" xr:uid="{00000000-0002-0000-0000-000006000000}"/>
    <dataValidation allowBlank="1" showInputMessage="1" showErrorMessage="1" prompt="Insira o horário nesta linha entre as colunas B e I" sqref="B12" xr:uid="{00000000-0002-0000-0000-000007000000}"/>
    <dataValidation allowBlank="1" showInputMessage="1" showErrorMessage="1" prompt="Insira os detalhes da tarefa nesta coluna, que corresponde ao dia da semana na coluna J e ao dia na coluna K para o mês do calendário à esquerda" sqref="L1" xr:uid="{00000000-0002-0000-0000-000008000000}"/>
    <dataValidation allowBlank="1" showInputMessage="1" showErrorMessage="1" prompt="Se esta linha contiver um número menor que o número ou a linha de números anterior, ela conterá datas para o próximo mês do calendário" sqref="C8" xr:uid="{00000000-0002-0000-0000-000009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000-00000A000000}"/>
    <dataValidation allowBlank="1" showInputMessage="1" showErrorMessage="1" prompt="Os dias da semana estão nesta linha, de segunda a sexta" sqref="B11" xr:uid="{00000000-0002-0000-0000-00000B000000}"/>
    <dataValidation allowBlank="1" showInputMessage="1" showErrorMessage="1" prompt="As células C2:I2 contêm dias da semana" sqref="C2" xr:uid="{00000000-0002-0000-00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36</v>
      </c>
      <c r="C2" s="5" t="s">
        <v>12</v>
      </c>
      <c r="D2" s="5" t="s">
        <v>5</v>
      </c>
      <c r="E2" s="5" t="s">
        <v>17</v>
      </c>
      <c r="F2" s="5" t="s">
        <v>18</v>
      </c>
      <c r="G2" s="5" t="s">
        <v>19</v>
      </c>
      <c r="H2" s="5" t="s">
        <v>21</v>
      </c>
      <c r="I2" s="5" t="s">
        <v>22</v>
      </c>
      <c r="J2" s="32" t="s">
        <v>5</v>
      </c>
      <c r="K2" s="33"/>
      <c r="L2" s="35"/>
    </row>
    <row r="3" spans="1:12" ht="30" customHeight="1" x14ac:dyDescent="0.25">
      <c r="A3" s="10"/>
      <c r="C3" s="4">
        <f ca="1">IF(DAY(OutDom1)=1,OutDom1-6,OutDom1+1)</f>
        <v>43737</v>
      </c>
      <c r="D3" s="4">
        <f ca="1">IF(DAY(OutDom1)=1,OutDom1-5,OutDom1+2)</f>
        <v>43738</v>
      </c>
      <c r="E3" s="4">
        <f ca="1">IF(DAY(OutDom1)=1,OutDom1-4,OutDom1+3)</f>
        <v>43739</v>
      </c>
      <c r="F3" s="4">
        <f ca="1">IF(DAY(OutDom1)=1,OutDom1-3,OutDom1+4)</f>
        <v>43740</v>
      </c>
      <c r="G3" s="4">
        <f ca="1">IF(DAY(OutDom1)=1,OutDom1-2,OutDom1+5)</f>
        <v>43741</v>
      </c>
      <c r="H3" s="4">
        <f ca="1">IF(DAY(OutDom1)=1,OutDom1-1,OutDom1+6)</f>
        <v>43742</v>
      </c>
      <c r="I3" s="4">
        <f ca="1">IF(DAY(OutDom1)=1,OutDom1,OutDom1+7)</f>
        <v>43743</v>
      </c>
      <c r="J3" s="32"/>
      <c r="K3" s="33"/>
      <c r="L3" s="35"/>
    </row>
    <row r="4" spans="1:12" ht="30" customHeight="1" x14ac:dyDescent="0.25">
      <c r="A4" s="10"/>
      <c r="C4" s="4">
        <f ca="1">IF(DAY(OutDom1)=1,OutDom1+1,OutDom1+8)</f>
        <v>43744</v>
      </c>
      <c r="D4" s="4">
        <f ca="1">IF(DAY(OutDom1)=1,OutDom1+2,OutDom1+9)</f>
        <v>43745</v>
      </c>
      <c r="E4" s="4">
        <f ca="1">IF(DAY(OutDom1)=1,OutDom1+3,OutDom1+10)</f>
        <v>43746</v>
      </c>
      <c r="F4" s="4">
        <f ca="1">IF(DAY(OutDom1)=1,OutDom1+4,OutDom1+11)</f>
        <v>43747</v>
      </c>
      <c r="G4" s="4">
        <f ca="1">IF(DAY(OutDom1)=1,OutDom1+5,OutDom1+12)</f>
        <v>43748</v>
      </c>
      <c r="H4" s="4">
        <f ca="1">IF(DAY(OutDom1)=1,OutDom1+6,OutDom1+13)</f>
        <v>43749</v>
      </c>
      <c r="I4" s="4">
        <f ca="1">IF(DAY(OutDom1)=1,OutDom1+7,OutDom1+14)</f>
        <v>43750</v>
      </c>
      <c r="J4" s="32"/>
      <c r="K4" s="33"/>
      <c r="L4" s="35"/>
    </row>
    <row r="5" spans="1:12" ht="30" customHeight="1" x14ac:dyDescent="0.25">
      <c r="A5" s="10"/>
      <c r="C5" s="4">
        <f ca="1">IF(DAY(OutDom1)=1,OutDom1+8,OutDom1+15)</f>
        <v>43751</v>
      </c>
      <c r="D5" s="4">
        <f ca="1">IF(DAY(OutDom1)=1,OutDom1+9,OutDom1+16)</f>
        <v>43752</v>
      </c>
      <c r="E5" s="4">
        <f ca="1">IF(DAY(OutDom1)=1,OutDom1+10,OutDom1+17)</f>
        <v>43753</v>
      </c>
      <c r="F5" s="4">
        <f ca="1">IF(DAY(OutDom1)=1,OutDom1+11,OutDom1+18)</f>
        <v>43754</v>
      </c>
      <c r="G5" s="4">
        <f ca="1">IF(DAY(OutDom1)=1,OutDom1+12,OutDom1+19)</f>
        <v>43755</v>
      </c>
      <c r="H5" s="4">
        <f ca="1">IF(DAY(OutDom1)=1,OutDom1+13,OutDom1+20)</f>
        <v>43756</v>
      </c>
      <c r="I5" s="4">
        <f ca="1">IF(DAY(OutDom1)=1,OutDom1+14,OutDom1+21)</f>
        <v>43757</v>
      </c>
      <c r="J5" s="32"/>
      <c r="K5" s="33"/>
      <c r="L5" s="35"/>
    </row>
    <row r="6" spans="1:12" ht="30" customHeight="1" x14ac:dyDescent="0.25">
      <c r="A6" s="10"/>
      <c r="C6" s="4">
        <f ca="1">IF(DAY(OutDom1)=1,OutDom1+15,OutDom1+22)</f>
        <v>43758</v>
      </c>
      <c r="D6" s="4">
        <f ca="1">IF(DAY(OutDom1)=1,OutDom1+16,OutDom1+23)</f>
        <v>43759</v>
      </c>
      <c r="E6" s="4">
        <f ca="1">IF(DAY(OutDom1)=1,OutDom1+17,OutDom1+24)</f>
        <v>43760</v>
      </c>
      <c r="F6" s="4">
        <f ca="1">IF(DAY(OutDom1)=1,OutDom1+18,OutDom1+25)</f>
        <v>43761</v>
      </c>
      <c r="G6" s="4">
        <f ca="1">IF(DAY(OutDom1)=1,OutDom1+19,OutDom1+26)</f>
        <v>43762</v>
      </c>
      <c r="H6" s="4">
        <f ca="1">IF(DAY(OutDom1)=1,OutDom1+20,OutDom1+27)</f>
        <v>43763</v>
      </c>
      <c r="I6" s="4">
        <f ca="1">IF(DAY(OutDom1)=1,OutDom1+21,OutDom1+28)</f>
        <v>43764</v>
      </c>
      <c r="J6" s="32"/>
      <c r="K6" s="33"/>
      <c r="L6" s="35"/>
    </row>
    <row r="7" spans="1:12" ht="30" customHeight="1" x14ac:dyDescent="0.25">
      <c r="A7" s="10"/>
      <c r="C7" s="4">
        <f ca="1">IF(DAY(OutDom1)=1,OutDom1+22,OutDom1+29)</f>
        <v>43765</v>
      </c>
      <c r="D7" s="4">
        <f ca="1">IF(DAY(OutDom1)=1,OutDom1+23,OutDom1+30)</f>
        <v>43766</v>
      </c>
      <c r="E7" s="4">
        <f ca="1">IF(DAY(OutDom1)=1,OutDom1+24,OutDom1+31)</f>
        <v>43767</v>
      </c>
      <c r="F7" s="4">
        <f ca="1">IF(DAY(OutDom1)=1,OutDom1+25,OutDom1+32)</f>
        <v>43768</v>
      </c>
      <c r="G7" s="4">
        <f ca="1">IF(DAY(OutDom1)=1,OutDom1+26,OutDom1+33)</f>
        <v>43769</v>
      </c>
      <c r="H7" s="4">
        <f ca="1">IF(DAY(OutDom1)=1,OutDom1+27,OutDom1+34)</f>
        <v>43770</v>
      </c>
      <c r="I7" s="4">
        <f ca="1">IF(DAY(OutDom1)=1,OutDom1+28,OutDom1+35)</f>
        <v>43771</v>
      </c>
      <c r="J7" s="16"/>
      <c r="K7" s="14"/>
      <c r="L7" s="36"/>
    </row>
    <row r="8" spans="1:12" ht="30" customHeight="1" x14ac:dyDescent="0.25">
      <c r="A8" s="10"/>
      <c r="B8" s="13"/>
      <c r="C8" s="4">
        <f ca="1">IF(DAY(OutDom1)=1,OutDom1+29,OutDom1+36)</f>
        <v>43772</v>
      </c>
      <c r="D8" s="4">
        <f ca="1">IF(DAY(OutDom1)=1,OutDom1+30,OutDom1+37)</f>
        <v>43773</v>
      </c>
      <c r="E8" s="4">
        <f ca="1">IF(DAY(OutDom1)=1,OutDom1+31,OutDom1+38)</f>
        <v>43774</v>
      </c>
      <c r="F8" s="4">
        <f ca="1">IF(DAY(OutDom1)=1,OutDom1+32,OutDom1+39)</f>
        <v>43775</v>
      </c>
      <c r="G8" s="4">
        <f ca="1">IF(DAY(OutDom1)=1,OutDom1+33,OutDom1+40)</f>
        <v>43776</v>
      </c>
      <c r="H8" s="4">
        <f ca="1">IF(DAY(OutDom1)=1,OutDom1+34,OutDom1+41)</f>
        <v>43777</v>
      </c>
      <c r="I8" s="4">
        <f ca="1">IF(DAY(OutDom1)=1,OutDom1+35,OutDom1+42)</f>
        <v>43778</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1"/>
      <c r="D12" s="81"/>
      <c r="E12" s="81" t="s">
        <v>6</v>
      </c>
      <c r="F12" s="81"/>
      <c r="G12" s="81"/>
      <c r="H12" s="81"/>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1" t="s">
        <v>14</v>
      </c>
      <c r="D14" s="81"/>
      <c r="E14" s="81"/>
      <c r="F14" s="81"/>
      <c r="G14" s="81" t="s">
        <v>14</v>
      </c>
      <c r="H14" s="81"/>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1"/>
      <c r="D16" s="81"/>
      <c r="E16" s="81" t="s">
        <v>8</v>
      </c>
      <c r="F16" s="81"/>
      <c r="G16" s="81"/>
      <c r="H16" s="81"/>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1"/>
      <c r="D18" s="81"/>
      <c r="E18" s="81"/>
      <c r="F18" s="81"/>
      <c r="G18" s="81"/>
      <c r="H18" s="81"/>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1"/>
      <c r="D20" s="81"/>
      <c r="E20" s="81"/>
      <c r="F20" s="81"/>
      <c r="G20" s="81"/>
      <c r="H20" s="81"/>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1"/>
      <c r="D22" s="81"/>
      <c r="E22" s="81"/>
      <c r="F22" s="81"/>
      <c r="G22" s="81"/>
      <c r="H22" s="81"/>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1"/>
      <c r="D24" s="81"/>
      <c r="E24" s="81">
        <v>0.58333333333333337</v>
      </c>
      <c r="F24" s="81"/>
      <c r="G24" s="81"/>
      <c r="H24" s="81"/>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1"/>
      <c r="D26" s="81"/>
      <c r="E26" s="81"/>
      <c r="F26" s="81"/>
      <c r="G26" s="81"/>
      <c r="H26" s="81"/>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1">
        <v>0.66666666666666663</v>
      </c>
      <c r="D28" s="81"/>
      <c r="E28" s="81"/>
      <c r="F28" s="81"/>
      <c r="G28" s="81">
        <v>0.66666666666666663</v>
      </c>
      <c r="H28" s="81"/>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1"/>
      <c r="D30" s="81"/>
      <c r="E30" s="81"/>
      <c r="F30" s="81"/>
      <c r="G30" s="81"/>
      <c r="H30" s="81"/>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25" priority="8" stopIfTrue="1">
      <formula>DAY(C3)&gt;8</formula>
    </cfRule>
  </conditionalFormatting>
  <conditionalFormatting sqref="C7:I8">
    <cfRule type="expression" dxfId="24" priority="7" stopIfTrue="1">
      <formula>AND(DAY(C7)&gt;=1,DAY(C7)&lt;=15)</formula>
    </cfRule>
  </conditionalFormatting>
  <conditionalFormatting sqref="C3:I8">
    <cfRule type="expression" dxfId="23" priority="9">
      <formula>VLOOKUP(DAY(C3),DiasTarefa,1,FALSE)=DAY(C3)</formula>
    </cfRule>
  </conditionalFormatting>
  <conditionalFormatting sqref="B13:I13 B15:I15 B17:I17 B19:I19 B21:I21 B23:I23 B25:I25 B27:I27 B29:I29 B31:I31">
    <cfRule type="expression" dxfId="22" priority="6">
      <formula>B13&lt;&gt;""</formula>
    </cfRule>
  </conditionalFormatting>
  <conditionalFormatting sqref="B12:I12 B14:I14 B16:I16 B18:I18 B20:I20 B22:I22 B24:I24 B26:I26 B28:I28 B30:I30">
    <cfRule type="expression" dxfId="21" priority="5">
      <formula>B12&lt;&gt;""</formula>
    </cfRule>
  </conditionalFormatting>
  <conditionalFormatting sqref="B13:I13 B15:I15 B17:I17 B19:I19 B21:I21 B23:I23 B25:I25 B27:I27 B29:I29">
    <cfRule type="expression" dxfId="20" priority="2">
      <formula>COLUMN(B13)&gt;=2</formula>
    </cfRule>
    <cfRule type="expression" dxfId="19" priority="4">
      <formula>COLUMN(B11)&gt;2</formula>
    </cfRule>
  </conditionalFormatting>
  <conditionalFormatting sqref="B31:I31">
    <cfRule type="expression" dxfId="18" priority="3">
      <formula>COLUMN(B12)&gt;2</formula>
    </cfRule>
  </conditionalFormatting>
  <conditionalFormatting sqref="B12:I31">
    <cfRule type="expression" dxfId="17" priority="1">
      <formula>COLUMN(B12)&gt;2</formula>
    </cfRule>
  </conditionalFormatting>
  <dataValidations count="13">
    <dataValidation allowBlank="1" showInputMessage="1" showErrorMessage="1" prompt="O calendário de outubro destaca automaticamente as entradas da lista de tarefas do mês. As fontes mais escuras são tarefas. As fontes mais claras são dias que pertencem ao mês anterior ou seguinte" sqref="B2" xr:uid="{00000000-0002-0000-0900-000000000000}"/>
    <dataValidation allowBlank="1" showInputMessage="1" showErrorMessage="1" prompt="O ano civil é atualizado automaticamente. Para alterar o ano, atualize a célula B1 na planilha de janeiro" sqref="B1" xr:uid="{00000000-0002-0000-09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900-000002000000}"/>
    <dataValidation allowBlank="1" showInputMessage="1" showErrorMessage="1" prompt="Se esta célula não contiver o número 1, ela será um dia de um mês anterior. As células C3:I8 contêm datas do mês atual" sqref="C3" xr:uid="{00000000-0002-0000-0900-000003000000}"/>
    <dataValidation allowBlank="1" showInputMessage="1" showErrorMessage="1" prompt="Se esta linha contiver um número menor que o número ou a linha de números anterior, ela conterá datas para o próximo mês do calendário" sqref="C8" xr:uid="{00000000-0002-0000-0900-000004000000}"/>
    <dataValidation allowBlank="1" showInputMessage="1" showErrorMessage="1" prompt="Insira o horário nesta linha entre as colunas B e I" sqref="B12" xr:uid="{00000000-0002-0000-0900-000005000000}"/>
    <dataValidation allowBlank="1" showInputMessage="1" showErrorMessage="1" prompt="Insira a aula nesta linha entre as colunas B e I" sqref="B13" xr:uid="{00000000-0002-0000-09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900-000007000000}"/>
    <dataValidation allowBlank="1" showInputMessage="1" showErrorMessage="1" prompt="Insira os detalhes da tarefa nesta coluna, que corresponde ao dia da semana na coluna J e ao dia na coluna K para o mês do calendário à esquerda" sqref="L1" xr:uid="{00000000-0002-0000-0900-000008000000}"/>
    <dataValidation allowBlank="1" showInputMessage="1" showErrorMessage="1" prompt="Insira o dia do mês da tarefa nesta coluna, que corresponde ao dia da semana na coluna J. Essa data destacará a tarefa no calendário à esquerda" sqref="K1" xr:uid="{00000000-0002-0000-0900-000009000000}"/>
    <dataValidation allowBlank="1" showInputMessage="1" showErrorMessage="1" prompt="Os dias da semana estão nesta linha, de segunda a sexta" sqref="B11" xr:uid="{00000000-0002-0000-09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900-00000B000000}"/>
    <dataValidation allowBlank="1" showInputMessage="1" showErrorMessage="1" prompt="As células C2:I2 contêm dias da semana" sqref="C2" xr:uid="{00000000-0002-0000-09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37</v>
      </c>
      <c r="C2" s="5" t="s">
        <v>12</v>
      </c>
      <c r="D2" s="5" t="s">
        <v>5</v>
      </c>
      <c r="E2" s="5" t="s">
        <v>17</v>
      </c>
      <c r="F2" s="5" t="s">
        <v>18</v>
      </c>
      <c r="G2" s="5" t="s">
        <v>19</v>
      </c>
      <c r="H2" s="5" t="s">
        <v>21</v>
      </c>
      <c r="I2" s="5" t="s">
        <v>22</v>
      </c>
      <c r="J2" s="32" t="s">
        <v>5</v>
      </c>
      <c r="K2" s="33"/>
      <c r="L2" s="35"/>
    </row>
    <row r="3" spans="1:12" ht="30" customHeight="1" x14ac:dyDescent="0.25">
      <c r="A3" s="10"/>
      <c r="C3" s="4">
        <f ca="1">IF(DAY(NovDom1)=1,NovDom1-6,NovDom1+1)</f>
        <v>43765</v>
      </c>
      <c r="D3" s="4">
        <f ca="1">IF(DAY(NovDom1)=1,NovDom1-5,NovDom1+2)</f>
        <v>43766</v>
      </c>
      <c r="E3" s="4">
        <f ca="1">IF(DAY(NovDom1)=1,NovDom1-4,NovDom1+3)</f>
        <v>43767</v>
      </c>
      <c r="F3" s="4">
        <f ca="1">IF(DAY(NovDom1)=1,NovDom1-3,NovDom1+4)</f>
        <v>43768</v>
      </c>
      <c r="G3" s="4">
        <f ca="1">IF(DAY(NovDom1)=1,NovDom1-2,NovDom1+5)</f>
        <v>43769</v>
      </c>
      <c r="H3" s="4">
        <f ca="1">IF(DAY(NovDom1)=1,NovDom1-1,NovDom1+6)</f>
        <v>43770</v>
      </c>
      <c r="I3" s="4">
        <f ca="1">IF(DAY(NovDom1)=1,NovDom1,NovDom1+7)</f>
        <v>43771</v>
      </c>
      <c r="J3" s="32"/>
      <c r="K3" s="33"/>
      <c r="L3" s="35"/>
    </row>
    <row r="4" spans="1:12" ht="30" customHeight="1" x14ac:dyDescent="0.25">
      <c r="A4" s="10"/>
      <c r="C4" s="4">
        <f ca="1">IF(DAY(NovDom1)=1,NovDom1+1,NovDom1+8)</f>
        <v>43772</v>
      </c>
      <c r="D4" s="4">
        <f ca="1">IF(DAY(NovDom1)=1,NovDom1+2,NovDom1+9)</f>
        <v>43773</v>
      </c>
      <c r="E4" s="4">
        <f ca="1">IF(DAY(NovDom1)=1,NovDom1+3,NovDom1+10)</f>
        <v>43774</v>
      </c>
      <c r="F4" s="4">
        <f ca="1">IF(DAY(NovDom1)=1,NovDom1+4,NovDom1+11)</f>
        <v>43775</v>
      </c>
      <c r="G4" s="4">
        <f ca="1">IF(DAY(NovDom1)=1,NovDom1+5,NovDom1+12)</f>
        <v>43776</v>
      </c>
      <c r="H4" s="4">
        <f ca="1">IF(DAY(NovDom1)=1,NovDom1+6,NovDom1+13)</f>
        <v>43777</v>
      </c>
      <c r="I4" s="4">
        <f ca="1">IF(DAY(NovDom1)=1,NovDom1+7,NovDom1+14)</f>
        <v>43778</v>
      </c>
      <c r="J4" s="32"/>
      <c r="K4" s="33"/>
      <c r="L4" s="35"/>
    </row>
    <row r="5" spans="1:12" ht="30" customHeight="1" x14ac:dyDescent="0.25">
      <c r="A5" s="10"/>
      <c r="C5" s="4">
        <f ca="1">IF(DAY(NovDom1)=1,NovDom1+8,NovDom1+15)</f>
        <v>43779</v>
      </c>
      <c r="D5" s="4">
        <f ca="1">IF(DAY(NovDom1)=1,NovDom1+9,NovDom1+16)</f>
        <v>43780</v>
      </c>
      <c r="E5" s="4">
        <f ca="1">IF(DAY(NovDom1)=1,NovDom1+10,NovDom1+17)</f>
        <v>43781</v>
      </c>
      <c r="F5" s="4">
        <f ca="1">IF(DAY(NovDom1)=1,NovDom1+11,NovDom1+18)</f>
        <v>43782</v>
      </c>
      <c r="G5" s="4">
        <f ca="1">IF(DAY(NovDom1)=1,NovDom1+12,NovDom1+19)</f>
        <v>43783</v>
      </c>
      <c r="H5" s="4">
        <f ca="1">IF(DAY(NovDom1)=1,NovDom1+13,NovDom1+20)</f>
        <v>43784</v>
      </c>
      <c r="I5" s="4">
        <f ca="1">IF(DAY(NovDom1)=1,NovDom1+14,NovDom1+21)</f>
        <v>43785</v>
      </c>
      <c r="J5" s="32"/>
      <c r="K5" s="33"/>
      <c r="L5" s="35"/>
    </row>
    <row r="6" spans="1:12" ht="30" customHeight="1" x14ac:dyDescent="0.25">
      <c r="A6" s="10"/>
      <c r="C6" s="4">
        <f ca="1">IF(DAY(NovDom1)=1,NovDom1+15,NovDom1+22)</f>
        <v>43786</v>
      </c>
      <c r="D6" s="4">
        <f ca="1">IF(DAY(NovDom1)=1,NovDom1+16,NovDom1+23)</f>
        <v>43787</v>
      </c>
      <c r="E6" s="4">
        <f ca="1">IF(DAY(NovDom1)=1,NovDom1+17,NovDom1+24)</f>
        <v>43788</v>
      </c>
      <c r="F6" s="4">
        <f ca="1">IF(DAY(NovDom1)=1,NovDom1+18,NovDom1+25)</f>
        <v>43789</v>
      </c>
      <c r="G6" s="4">
        <f ca="1">IF(DAY(NovDom1)=1,NovDom1+19,NovDom1+26)</f>
        <v>43790</v>
      </c>
      <c r="H6" s="4">
        <f ca="1">IF(DAY(NovDom1)=1,NovDom1+20,NovDom1+27)</f>
        <v>43791</v>
      </c>
      <c r="I6" s="4">
        <f ca="1">IF(DAY(NovDom1)=1,NovDom1+21,NovDom1+28)</f>
        <v>43792</v>
      </c>
      <c r="J6" s="32"/>
      <c r="K6" s="33"/>
      <c r="L6" s="35"/>
    </row>
    <row r="7" spans="1:12" ht="30" customHeight="1" x14ac:dyDescent="0.25">
      <c r="A7" s="10"/>
      <c r="C7" s="4">
        <f ca="1">IF(DAY(NovDom1)=1,NovDom1+22,NovDom1+29)</f>
        <v>43793</v>
      </c>
      <c r="D7" s="4">
        <f ca="1">IF(DAY(NovDom1)=1,NovDom1+23,NovDom1+30)</f>
        <v>43794</v>
      </c>
      <c r="E7" s="4">
        <f ca="1">IF(DAY(NovDom1)=1,NovDom1+24,NovDom1+31)</f>
        <v>43795</v>
      </c>
      <c r="F7" s="4">
        <f ca="1">IF(DAY(NovDom1)=1,NovDom1+25,NovDom1+32)</f>
        <v>43796</v>
      </c>
      <c r="G7" s="4">
        <f ca="1">IF(DAY(NovDom1)=1,NovDom1+26,NovDom1+33)</f>
        <v>43797</v>
      </c>
      <c r="H7" s="4">
        <f ca="1">IF(DAY(NovDom1)=1,NovDom1+27,NovDom1+34)</f>
        <v>43798</v>
      </c>
      <c r="I7" s="4">
        <f ca="1">IF(DAY(NovDom1)=1,NovDom1+28,NovDom1+35)</f>
        <v>43799</v>
      </c>
      <c r="J7" s="16"/>
      <c r="K7" s="14"/>
      <c r="L7" s="36"/>
    </row>
    <row r="8" spans="1:12" ht="30" customHeight="1" x14ac:dyDescent="0.25">
      <c r="A8" s="10"/>
      <c r="B8" s="13"/>
      <c r="C8" s="4">
        <f ca="1">IF(DAY(NovDom1)=1,NovDom1+29,NovDom1+36)</f>
        <v>43800</v>
      </c>
      <c r="D8" s="4">
        <f ca="1">IF(DAY(NovDom1)=1,NovDom1+30,NovDom1+37)</f>
        <v>43801</v>
      </c>
      <c r="E8" s="4">
        <f ca="1">IF(DAY(NovDom1)=1,NovDom1+31,NovDom1+38)</f>
        <v>43802</v>
      </c>
      <c r="F8" s="4">
        <f ca="1">IF(DAY(NovDom1)=1,NovDom1+32,NovDom1+39)</f>
        <v>43803</v>
      </c>
      <c r="G8" s="4">
        <f ca="1">IF(DAY(NovDom1)=1,NovDom1+33,NovDom1+40)</f>
        <v>43804</v>
      </c>
      <c r="H8" s="4">
        <f ca="1">IF(DAY(NovDom1)=1,NovDom1+34,NovDom1+41)</f>
        <v>43805</v>
      </c>
      <c r="I8" s="4">
        <f ca="1">IF(DAY(NovDom1)=1,NovDom1+35,NovDom1+42)</f>
        <v>43806</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15" priority="6" stopIfTrue="1">
      <formula>DAY(C3)&gt;8</formula>
    </cfRule>
  </conditionalFormatting>
  <conditionalFormatting sqref="C7:I8">
    <cfRule type="expression" dxfId="14" priority="5" stopIfTrue="1">
      <formula>AND(DAY(C7)&gt;=1,DAY(C7)&lt;=15)</formula>
    </cfRule>
  </conditionalFormatting>
  <conditionalFormatting sqref="C3:I8">
    <cfRule type="expression" dxfId="13" priority="7">
      <formula>VLOOKUP(DAY(C3),DiasTarefa,1,FALSE)=DAY(C3)</formula>
    </cfRule>
  </conditionalFormatting>
  <conditionalFormatting sqref="B13:I13 B15:I15 B17:I17 B19:I19 B21:I21 B23:I23 B25:I25 B27:I27 B29:I29 B31:I31">
    <cfRule type="expression" dxfId="12" priority="4">
      <formula>B13&lt;&gt;""</formula>
    </cfRule>
  </conditionalFormatting>
  <conditionalFormatting sqref="B12:I12 B14:I14 B16:I16 B18:I18 B20:I20 B22:I22 B24:I24 B26:I26 B28:I28 B30:I30">
    <cfRule type="expression" dxfId="11" priority="3">
      <formula>B12&lt;&gt;""</formula>
    </cfRule>
  </conditionalFormatting>
  <conditionalFormatting sqref="B13:I13 B15:I15 B17:I17 B19:I19 B21:I21 B23:I23 B25:I25 B27:I27 B29:I29">
    <cfRule type="expression" dxfId="10" priority="2">
      <formula>COLUMN(B13)&gt;=2</formula>
    </cfRule>
  </conditionalFormatting>
  <conditionalFormatting sqref="B12:I31">
    <cfRule type="expression" dxfId="9" priority="1">
      <formula>COLUMN(B12)&gt;2</formula>
    </cfRule>
  </conditionalFormatting>
  <dataValidations xWindow="136" yWindow="382" count="13">
    <dataValidation allowBlank="1" showInputMessage="1" showErrorMessage="1" prompt="Insira a aula nesta linha entre as colunas B e I" sqref="B13" xr:uid="{00000000-0002-0000-0A00-000000000000}"/>
    <dataValidation allowBlank="1" showInputMessage="1" showErrorMessage="1" prompt="Insira o horário nesta linha entre as colunas B e I" sqref="B12" xr:uid="{00000000-0002-0000-0A00-000001000000}"/>
    <dataValidation allowBlank="1" showInputMessage="1" showErrorMessage="1" prompt="Se esta linha contiver um número menor que o número ou a linha de números anterior, ela conterá datas para o próximo mês do calendário" sqref="C8" xr:uid="{00000000-0002-0000-0A00-000002000000}"/>
    <dataValidation allowBlank="1" showInputMessage="1" showErrorMessage="1" prompt="Se esta célula não contiver o número 1, ela será um dia de um mês anterior. As células C3:I8 contêm datas do mês atual" sqref="C3" xr:uid="{00000000-0002-0000-0A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A00-000004000000}"/>
    <dataValidation allowBlank="1" showInputMessage="1" showErrorMessage="1" prompt="O ano civil é atualizado automaticamente. Para alterar o ano, atualize a célula B1 na planilha de janeiro" sqref="B1" xr:uid="{00000000-0002-0000-0A00-000005000000}"/>
    <dataValidation allowBlank="1" showInputMessage="1" showErrorMessage="1" prompt="O calendário de novembro destaca automaticamente as entradas da lista de tarefas do mês. As fontes mais escuras são tarefas. As fontes mais claras são dias que pertencem ao mês anterior ou seguinte" sqref="B2" xr:uid="{00000000-0002-0000-0A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A00-000007000000}"/>
    <dataValidation allowBlank="1" showInputMessage="1" showErrorMessage="1" prompt="Insira os detalhes da tarefa nesta coluna, que corresponde ao dia da semana na coluna J e ao dia na coluna K para o mês do calendário à esquerda" sqref="L1" xr:uid="{00000000-0002-0000-0A00-000008000000}"/>
    <dataValidation allowBlank="1" showInputMessage="1" showErrorMessage="1" prompt="Insira o dia do mês da tarefa nesta coluna, que corresponde ao dia da semana na coluna J. Essa data destacará a tarefa no calendário à esquerda" sqref="K1" xr:uid="{00000000-0002-0000-0A00-000009000000}"/>
    <dataValidation allowBlank="1" showInputMessage="1" showErrorMessage="1" prompt="Os dias da semana estão nesta linha, de segunda a sexta" sqref="B11" xr:uid="{00000000-0002-0000-0A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A00-00000B000000}"/>
    <dataValidation allowBlank="1" showInputMessage="1" showErrorMessage="1" prompt="As células C2:I2 contêm dias da semana" sqref="C2" xr:uid="{00000000-0002-0000-0A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38</v>
      </c>
      <c r="C2" s="5" t="s">
        <v>12</v>
      </c>
      <c r="D2" s="5" t="s">
        <v>5</v>
      </c>
      <c r="E2" s="5" t="s">
        <v>17</v>
      </c>
      <c r="F2" s="5" t="s">
        <v>18</v>
      </c>
      <c r="G2" s="5" t="s">
        <v>19</v>
      </c>
      <c r="H2" s="5" t="s">
        <v>21</v>
      </c>
      <c r="I2" s="5" t="s">
        <v>22</v>
      </c>
      <c r="J2" s="32" t="s">
        <v>5</v>
      </c>
      <c r="K2" s="33"/>
      <c r="L2" s="35"/>
    </row>
    <row r="3" spans="1:12" ht="30" customHeight="1" x14ac:dyDescent="0.25">
      <c r="A3" s="10"/>
      <c r="C3" s="4">
        <f ca="1">IF(DAY(DezDom1)=1,DezDom1-6,DezDom1+1)</f>
        <v>43800</v>
      </c>
      <c r="D3" s="4">
        <f ca="1">IF(DAY(DezDom1)=1,DezDom1-5,DezDom1+2)</f>
        <v>43801</v>
      </c>
      <c r="E3" s="4">
        <f ca="1">IF(DAY(DezDom1)=1,DezDom1-4,DezDom1+3)</f>
        <v>43802</v>
      </c>
      <c r="F3" s="4">
        <f ca="1">IF(DAY(DezDom1)=1,DezDom1-3,DezDom1+4)</f>
        <v>43803</v>
      </c>
      <c r="G3" s="4">
        <f ca="1">IF(DAY(DezDom1)=1,DezDom1-2,DezDom1+5)</f>
        <v>43804</v>
      </c>
      <c r="H3" s="4">
        <f ca="1">IF(DAY(DezDom1)=1,DezDom1-1,DezDom1+6)</f>
        <v>43805</v>
      </c>
      <c r="I3" s="4">
        <f ca="1">IF(DAY(DezDom1)=1,DezDom1,DezDom1+7)</f>
        <v>43806</v>
      </c>
      <c r="J3" s="32"/>
      <c r="K3" s="33"/>
      <c r="L3" s="35"/>
    </row>
    <row r="4" spans="1:12" ht="30" customHeight="1" x14ac:dyDescent="0.25">
      <c r="A4" s="10"/>
      <c r="C4" s="4">
        <f ca="1">IF(DAY(DezDom1)=1,DezDom1+1,DezDom1+8)</f>
        <v>43807</v>
      </c>
      <c r="D4" s="4">
        <f ca="1">IF(DAY(DezDom1)=1,DezDom1+2,DezDom1+9)</f>
        <v>43808</v>
      </c>
      <c r="E4" s="4">
        <f ca="1">IF(DAY(DezDom1)=1,DezDom1+3,DezDom1+10)</f>
        <v>43809</v>
      </c>
      <c r="F4" s="4">
        <f ca="1">IF(DAY(DezDom1)=1,DezDom1+4,DezDom1+11)</f>
        <v>43810</v>
      </c>
      <c r="G4" s="4">
        <f ca="1">IF(DAY(DezDom1)=1,DezDom1+5,DezDom1+12)</f>
        <v>43811</v>
      </c>
      <c r="H4" s="4">
        <f ca="1">IF(DAY(DezDom1)=1,DezDom1+6,DezDom1+13)</f>
        <v>43812</v>
      </c>
      <c r="I4" s="4">
        <f ca="1">IF(DAY(DezDom1)=1,DezDom1+7,DezDom1+14)</f>
        <v>43813</v>
      </c>
      <c r="J4" s="32"/>
      <c r="K4" s="33"/>
      <c r="L4" s="35"/>
    </row>
    <row r="5" spans="1:12" ht="30" customHeight="1" x14ac:dyDescent="0.25">
      <c r="A5" s="10"/>
      <c r="C5" s="4">
        <f ca="1">IF(DAY(DezDom1)=1,DezDom1+8,DezDom1+15)</f>
        <v>43814</v>
      </c>
      <c r="D5" s="4">
        <f ca="1">IF(DAY(DezDom1)=1,DezDom1+9,DezDom1+16)</f>
        <v>43815</v>
      </c>
      <c r="E5" s="4">
        <f ca="1">IF(DAY(DezDom1)=1,DezDom1+10,DezDom1+17)</f>
        <v>43816</v>
      </c>
      <c r="F5" s="4">
        <f ca="1">IF(DAY(DezDom1)=1,DezDom1+11,DezDom1+18)</f>
        <v>43817</v>
      </c>
      <c r="G5" s="4">
        <f ca="1">IF(DAY(DezDom1)=1,DezDom1+12,DezDom1+19)</f>
        <v>43818</v>
      </c>
      <c r="H5" s="4">
        <f ca="1">IF(DAY(DezDom1)=1,DezDom1+13,DezDom1+20)</f>
        <v>43819</v>
      </c>
      <c r="I5" s="4">
        <f ca="1">IF(DAY(DezDom1)=1,DezDom1+14,DezDom1+21)</f>
        <v>43820</v>
      </c>
      <c r="J5" s="32"/>
      <c r="K5" s="33"/>
      <c r="L5" s="35"/>
    </row>
    <row r="6" spans="1:12" ht="30" customHeight="1" x14ac:dyDescent="0.25">
      <c r="A6" s="10"/>
      <c r="C6" s="4">
        <f ca="1">IF(DAY(DezDom1)=1,DezDom1+15,DezDom1+22)</f>
        <v>43821</v>
      </c>
      <c r="D6" s="4">
        <f ca="1">IF(DAY(DezDom1)=1,DezDom1+16,DezDom1+23)</f>
        <v>43822</v>
      </c>
      <c r="E6" s="4">
        <f ca="1">IF(DAY(DezDom1)=1,DezDom1+17,DezDom1+24)</f>
        <v>43823</v>
      </c>
      <c r="F6" s="4">
        <f ca="1">IF(DAY(DezDom1)=1,DezDom1+18,DezDom1+25)</f>
        <v>43824</v>
      </c>
      <c r="G6" s="4">
        <f ca="1">IF(DAY(DezDom1)=1,DezDom1+19,DezDom1+26)</f>
        <v>43825</v>
      </c>
      <c r="H6" s="4">
        <f ca="1">IF(DAY(DezDom1)=1,DezDom1+20,DezDom1+27)</f>
        <v>43826</v>
      </c>
      <c r="I6" s="4">
        <f ca="1">IF(DAY(DezDom1)=1,DezDom1+21,DezDom1+28)</f>
        <v>43827</v>
      </c>
      <c r="J6" s="32"/>
      <c r="K6" s="33"/>
      <c r="L6" s="35"/>
    </row>
    <row r="7" spans="1:12" ht="30" customHeight="1" x14ac:dyDescent="0.25">
      <c r="A7" s="10"/>
      <c r="C7" s="4">
        <f ca="1">IF(DAY(DezDom1)=1,DezDom1+22,DezDom1+29)</f>
        <v>43828</v>
      </c>
      <c r="D7" s="4">
        <f ca="1">IF(DAY(DezDom1)=1,DezDom1+23,DezDom1+30)</f>
        <v>43829</v>
      </c>
      <c r="E7" s="4">
        <f ca="1">IF(DAY(DezDom1)=1,DezDom1+24,DezDom1+31)</f>
        <v>43830</v>
      </c>
      <c r="F7" s="4">
        <f ca="1">IF(DAY(DezDom1)=1,DezDom1+25,DezDom1+32)</f>
        <v>43831</v>
      </c>
      <c r="G7" s="4">
        <f ca="1">IF(DAY(DezDom1)=1,DezDom1+26,DezDom1+33)</f>
        <v>43832</v>
      </c>
      <c r="H7" s="4">
        <f ca="1">IF(DAY(DezDom1)=1,DezDom1+27,DezDom1+34)</f>
        <v>43833</v>
      </c>
      <c r="I7" s="4">
        <f ca="1">IF(DAY(DezDom1)=1,DezDom1+28,DezDom1+35)</f>
        <v>43834</v>
      </c>
      <c r="J7" s="16"/>
      <c r="K7" s="14"/>
      <c r="L7" s="36"/>
    </row>
    <row r="8" spans="1:12" ht="30" customHeight="1" x14ac:dyDescent="0.25">
      <c r="A8" s="10"/>
      <c r="B8" s="13"/>
      <c r="C8" s="4">
        <f ca="1">IF(DAY(DezDom1)=1,DezDom1+29,DezDom1+36)</f>
        <v>43835</v>
      </c>
      <c r="D8" s="4">
        <f ca="1">IF(DAY(DezDom1)=1,DezDom1+30,DezDom1+37)</f>
        <v>43836</v>
      </c>
      <c r="E8" s="4">
        <f ca="1">IF(DAY(DezDom1)=1,DezDom1+31,DezDom1+38)</f>
        <v>43837</v>
      </c>
      <c r="F8" s="4">
        <f ca="1">IF(DAY(DezDom1)=1,DezDom1+32,DezDom1+39)</f>
        <v>43838</v>
      </c>
      <c r="G8" s="4">
        <f ca="1">IF(DAY(DezDom1)=1,DezDom1+33,DezDom1+40)</f>
        <v>43839</v>
      </c>
      <c r="H8" s="4">
        <f ca="1">IF(DAY(DezDom1)=1,DezDom1+34,DezDom1+41)</f>
        <v>43840</v>
      </c>
      <c r="I8" s="4">
        <f ca="1">IF(DAY(DezDom1)=1,DezDom1+35,DezDom1+42)</f>
        <v>43841</v>
      </c>
      <c r="J8" s="32" t="s">
        <v>17</v>
      </c>
      <c r="K8" s="33"/>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33"/>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4"/>
      <c r="D20" s="84"/>
      <c r="E20" s="84"/>
      <c r="F20" s="84"/>
      <c r="G20" s="84"/>
      <c r="H20" s="84"/>
      <c r="I20" s="19"/>
      <c r="J20" s="32" t="s">
        <v>19</v>
      </c>
      <c r="K20" s="33"/>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4"/>
      <c r="D26" s="84"/>
      <c r="E26" s="84"/>
      <c r="F26" s="84"/>
      <c r="G26" s="84"/>
      <c r="H26" s="84"/>
      <c r="I26" s="19"/>
      <c r="J26" s="32" t="s">
        <v>21</v>
      </c>
      <c r="K26" s="33"/>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7" priority="6" stopIfTrue="1">
      <formula>DAY(C3)&gt;8</formula>
    </cfRule>
  </conditionalFormatting>
  <conditionalFormatting sqref="C7:I8">
    <cfRule type="expression" dxfId="6" priority="5" stopIfTrue="1">
      <formula>AND(DAY(C7)&gt;=1,DAY(C7)&lt;=15)</formula>
    </cfRule>
  </conditionalFormatting>
  <conditionalFormatting sqref="C3:I8">
    <cfRule type="expression" dxfId="5" priority="7">
      <formula>VLOOKUP(DAY(C3),DiasTarefa,1,FALSE)=DAY(C3)</formula>
    </cfRule>
  </conditionalFormatting>
  <conditionalFormatting sqref="B13:I13 B15:I15 B17:I17 B19:I19 B21:I21 B23:I23 B25:I25 B27:I27 B29:I29 B31:I31">
    <cfRule type="expression" dxfId="4" priority="4">
      <formula>B13&lt;&gt;""</formula>
    </cfRule>
  </conditionalFormatting>
  <conditionalFormatting sqref="B12:I12 B14:I14 B16:I16 B18:I18 B20:I20 B22:I22 B24:I24 B26:I26 B28:I28 B30:I30">
    <cfRule type="expression" dxfId="3" priority="3">
      <formula>B12&lt;&gt;""</formula>
    </cfRule>
  </conditionalFormatting>
  <conditionalFormatting sqref="B13:I13 B15:I15 B17:I17 B19:I19 B21:I21 B23:I23 B25:I25 B27:I27 B29:I29">
    <cfRule type="expression" dxfId="2" priority="2">
      <formula>COLUMN(B13)&gt;=2</formula>
    </cfRule>
  </conditionalFormatting>
  <conditionalFormatting sqref="B12:I31">
    <cfRule type="expression" dxfId="1" priority="1">
      <formula>COLUMN(B12)&gt;2</formula>
    </cfRule>
  </conditionalFormatting>
  <dataValidations xWindow="282" yWindow="695" count="13">
    <dataValidation allowBlank="1" showInputMessage="1" showErrorMessage="1" prompt="O calendário de dezembro destaca automaticamente as entradas da lista de tarefas do mês. As fontes mais escuras são tarefas. As fontes mais claras são dias que pertencem ao mês anterior ou seguinte" sqref="B2" xr:uid="{00000000-0002-0000-0B00-000000000000}"/>
    <dataValidation allowBlank="1" showInputMessage="1" showErrorMessage="1" prompt="O ano civil é atualizado automaticamente. Para alterar o ano, atualize a célula B1 na planilha de janeiro" sqref="B1" xr:uid="{00000000-0002-0000-0B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B00-000002000000}"/>
    <dataValidation allowBlank="1" showInputMessage="1" showErrorMessage="1" prompt="Se esta célula não contiver o número 1, ela será um dia de um mês anterior. As células C3:I8 contêm datas do mês atual" sqref="C3" xr:uid="{00000000-0002-0000-0B00-000003000000}"/>
    <dataValidation allowBlank="1" showInputMessage="1" showErrorMessage="1" prompt="Se esta linha contiver um número menor que o número ou a linha de números anterior, ela conterá datas para o próximo mês do calendário" sqref="C8" xr:uid="{00000000-0002-0000-0B00-000004000000}"/>
    <dataValidation allowBlank="1" showInputMessage="1" showErrorMessage="1" prompt="Insira o horário nesta linha entre as colunas B e I" sqref="B12" xr:uid="{00000000-0002-0000-0B00-000005000000}"/>
    <dataValidation allowBlank="1" showInputMessage="1" showErrorMessage="1" prompt="Insira a aula nesta linha entre as colunas B e I" sqref="B13" xr:uid="{00000000-0002-0000-0B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B00-000007000000}"/>
    <dataValidation allowBlank="1" showInputMessage="1" showErrorMessage="1" prompt="Insira os detalhes da tarefa nesta coluna, que corresponde ao dia da semana na coluna J e ao dia na coluna K para o mês do calendário à esquerda" sqref="L1" xr:uid="{00000000-0002-0000-0B00-000008000000}"/>
    <dataValidation allowBlank="1" showInputMessage="1" showErrorMessage="1" prompt="Insira o dia do mês da tarefa nesta coluna, que corresponde ao dia da semana na coluna J. Essa data destacará a tarefa no calendário à esquerda" sqref="K1" xr:uid="{00000000-0002-0000-0B00-000009000000}"/>
    <dataValidation allowBlank="1" showInputMessage="1" showErrorMessage="1" prompt="Os dias da semana estão nesta linha, de segunda a sexta" sqref="B11" xr:uid="{00000000-0002-0000-0B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B00-00000B000000}"/>
    <dataValidation allowBlank="1" showInputMessage="1" showErrorMessage="1" prompt="As células C2:I2 contêm dias da semana" sqref="C2" xr:uid="{00000000-0002-0000-0B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 customWidth="1"/>
    <col min="11" max="11" width="10.625" customWidth="1"/>
    <col min="12" max="12" width="70.625" style="1" customWidth="1"/>
    <col min="13" max="13" width="2.625" customWidth="1"/>
  </cols>
  <sheetData>
    <row r="1" spans="1:12" ht="30" customHeight="1" x14ac:dyDescent="0.2">
      <c r="A1" s="71"/>
      <c r="B1" s="9">
        <f ca="1">AnoCivil</f>
        <v>2019</v>
      </c>
      <c r="J1" s="15" t="s">
        <v>0</v>
      </c>
      <c r="K1" s="15" t="s">
        <v>23</v>
      </c>
      <c r="L1" s="8" t="s">
        <v>24</v>
      </c>
    </row>
    <row r="2" spans="1:12" ht="30" customHeight="1" x14ac:dyDescent="0.25">
      <c r="A2" s="10"/>
      <c r="B2" s="20" t="s">
        <v>27</v>
      </c>
      <c r="C2" s="5" t="s">
        <v>12</v>
      </c>
      <c r="D2" s="5" t="s">
        <v>5</v>
      </c>
      <c r="E2" s="5" t="s">
        <v>17</v>
      </c>
      <c r="F2" s="5" t="s">
        <v>18</v>
      </c>
      <c r="G2" s="5" t="s">
        <v>19</v>
      </c>
      <c r="H2" s="5" t="s">
        <v>21</v>
      </c>
      <c r="I2" s="5" t="s">
        <v>22</v>
      </c>
      <c r="J2" s="32" t="s">
        <v>5</v>
      </c>
      <c r="K2" s="33"/>
      <c r="L2" s="35"/>
    </row>
    <row r="3" spans="1:12" ht="30" customHeight="1" x14ac:dyDescent="0.25">
      <c r="A3" s="10"/>
      <c r="C3" s="4">
        <f ca="1">IF(DAY(FevDom1)=1,FevDom1-6,FevDom1+1)</f>
        <v>43492</v>
      </c>
      <c r="D3" s="4">
        <f ca="1">IF(DAY(FevDom1)=1,FevDom1-5,FevDom1+2)</f>
        <v>43493</v>
      </c>
      <c r="E3" s="4">
        <f ca="1">IF(DAY(FevDom1)=1,FevDom1-4,FevDom1+3)</f>
        <v>43494</v>
      </c>
      <c r="F3" s="4">
        <f ca="1">IF(DAY(FevDom1)=1,FevDom1-3,FevDom1+4)</f>
        <v>43495</v>
      </c>
      <c r="G3" s="4">
        <f ca="1">IF(DAY(FevDom1)=1,FevDom1-2,FevDom1+5)</f>
        <v>43496</v>
      </c>
      <c r="H3" s="4">
        <f ca="1">IF(DAY(FevDom1)=1,FevDom1-1,FevDom1+6)</f>
        <v>43497</v>
      </c>
      <c r="I3" s="4">
        <f ca="1">IF(DAY(FevDom1)=1,FevDom1,FevDom1+7)</f>
        <v>43498</v>
      </c>
      <c r="J3" s="32"/>
      <c r="K3" s="33"/>
      <c r="L3" s="35"/>
    </row>
    <row r="4" spans="1:12" ht="30" customHeight="1" x14ac:dyDescent="0.25">
      <c r="A4" s="10"/>
      <c r="C4" s="4">
        <f ca="1">IF(DAY(FevDom1)=1,FevDom1+1,FevDom1+8)</f>
        <v>43499</v>
      </c>
      <c r="D4" s="4">
        <f ca="1">IF(DAY(FevDom1)=1,FevDom1+2,FevDom1+9)</f>
        <v>43500</v>
      </c>
      <c r="E4" s="4">
        <f ca="1">IF(DAY(FevDom1)=1,FevDom1+3,FevDom1+10)</f>
        <v>43501</v>
      </c>
      <c r="F4" s="4">
        <f ca="1">IF(DAY(FevDom1)=1,FevDom1+4,FevDom1+11)</f>
        <v>43502</v>
      </c>
      <c r="G4" s="4">
        <f ca="1">IF(DAY(FevDom1)=1,FevDom1+5,FevDom1+12)</f>
        <v>43503</v>
      </c>
      <c r="H4" s="4">
        <f ca="1">IF(DAY(FevDom1)=1,FevDom1+6,FevDom1+13)</f>
        <v>43504</v>
      </c>
      <c r="I4" s="4">
        <f ca="1">IF(DAY(FevDom1)=1,FevDom1+7,FevDom1+14)</f>
        <v>43505</v>
      </c>
      <c r="J4" s="32"/>
      <c r="K4" s="33"/>
      <c r="L4" s="35"/>
    </row>
    <row r="5" spans="1:12" ht="30" customHeight="1" x14ac:dyDescent="0.25">
      <c r="A5" s="10"/>
      <c r="C5" s="4">
        <f ca="1">IF(DAY(FevDom1)=1,FevDom1+8,FevDom1+15)</f>
        <v>43506</v>
      </c>
      <c r="D5" s="4">
        <f ca="1">IF(DAY(FevDom1)=1,FevDom1+9,FevDom1+16)</f>
        <v>43507</v>
      </c>
      <c r="E5" s="4">
        <f ca="1">IF(DAY(FevDom1)=1,FevDom1+10,FevDom1+17)</f>
        <v>43508</v>
      </c>
      <c r="F5" s="4">
        <f ca="1">IF(DAY(FevDom1)=1,FevDom1+11,FevDom1+18)</f>
        <v>43509</v>
      </c>
      <c r="G5" s="4">
        <f ca="1">IF(DAY(FevDom1)=1,FevDom1+12,FevDom1+19)</f>
        <v>43510</v>
      </c>
      <c r="H5" s="4">
        <f ca="1">IF(DAY(FevDom1)=1,FevDom1+13,FevDom1+20)</f>
        <v>43511</v>
      </c>
      <c r="I5" s="4">
        <f ca="1">IF(DAY(FevDom1)=1,FevDom1+14,FevDom1+21)</f>
        <v>43512</v>
      </c>
      <c r="J5" s="32"/>
      <c r="K5" s="33"/>
      <c r="L5" s="35"/>
    </row>
    <row r="6" spans="1:12" ht="30" customHeight="1" x14ac:dyDescent="0.25">
      <c r="A6" s="10"/>
      <c r="C6" s="4">
        <f ca="1">IF(DAY(FevDom1)=1,FevDom1+15,FevDom1+22)</f>
        <v>43513</v>
      </c>
      <c r="D6" s="4">
        <f ca="1">IF(DAY(FevDom1)=1,FevDom1+16,FevDom1+23)</f>
        <v>43514</v>
      </c>
      <c r="E6" s="4">
        <f ca="1">IF(DAY(FevDom1)=1,FevDom1+17,FevDom1+24)</f>
        <v>43515</v>
      </c>
      <c r="F6" s="4">
        <f ca="1">IF(DAY(FevDom1)=1,FevDom1+18,FevDom1+25)</f>
        <v>43516</v>
      </c>
      <c r="G6" s="4">
        <f ca="1">IF(DAY(FevDom1)=1,FevDom1+19,FevDom1+26)</f>
        <v>43517</v>
      </c>
      <c r="H6" s="4">
        <f ca="1">IF(DAY(FevDom1)=1,FevDom1+20,FevDom1+27)</f>
        <v>43518</v>
      </c>
      <c r="I6" s="4">
        <f ca="1">IF(DAY(FevDom1)=1,FevDom1+21,FevDom1+28)</f>
        <v>43519</v>
      </c>
      <c r="J6" s="32"/>
      <c r="K6" s="33"/>
      <c r="L6" s="35"/>
    </row>
    <row r="7" spans="1:12" ht="30" customHeight="1" x14ac:dyDescent="0.25">
      <c r="A7" s="10"/>
      <c r="C7" s="4">
        <f ca="1">IF(DAY(FevDom1)=1,FevDom1+22,FevDom1+29)</f>
        <v>43520</v>
      </c>
      <c r="D7" s="4">
        <f ca="1">IF(DAY(FevDom1)=1,FevDom1+23,FevDom1+30)</f>
        <v>43521</v>
      </c>
      <c r="E7" s="4">
        <f ca="1">IF(DAY(FevDom1)=1,FevDom1+24,FevDom1+31)</f>
        <v>43522</v>
      </c>
      <c r="F7" s="4">
        <f ca="1">IF(DAY(FevDom1)=1,FevDom1+25,FevDom1+32)</f>
        <v>43523</v>
      </c>
      <c r="G7" s="4">
        <f ca="1">IF(DAY(FevDom1)=1,FevDom1+26,FevDom1+33)</f>
        <v>43524</v>
      </c>
      <c r="H7" s="4">
        <f ca="1">IF(DAY(FevDom1)=1,FevDom1+27,FevDom1+34)</f>
        <v>43525</v>
      </c>
      <c r="I7" s="4">
        <f ca="1">IF(DAY(FevDom1)=1,FevDom1+28,FevDom1+35)</f>
        <v>43526</v>
      </c>
      <c r="J7" s="16"/>
      <c r="K7" s="14"/>
      <c r="L7" s="36"/>
    </row>
    <row r="8" spans="1:12" ht="30" customHeight="1" x14ac:dyDescent="0.25">
      <c r="A8" s="10"/>
      <c r="B8" s="13"/>
      <c r="C8" s="4">
        <f ca="1">IF(DAY(FevDom1)=1,FevDom1+29,FevDom1+36)</f>
        <v>43527</v>
      </c>
      <c r="D8" s="4">
        <f ca="1">IF(DAY(FevDom1)=1,FevDom1+30,FevDom1+37)</f>
        <v>43528</v>
      </c>
      <c r="E8" s="4">
        <f ca="1">IF(DAY(FevDom1)=1,FevDom1+31,FevDom1+38)</f>
        <v>43529</v>
      </c>
      <c r="F8" s="4">
        <f ca="1">IF(DAY(FevDom1)=1,FevDom1+32,FevDom1+39)</f>
        <v>43530</v>
      </c>
      <c r="G8" s="4">
        <f ca="1">IF(DAY(FevDom1)=1,FevDom1+33,FevDom1+40)</f>
        <v>43531</v>
      </c>
      <c r="H8" s="4">
        <f ca="1">IF(DAY(FevDom1)=1,FevDom1+34,FevDom1+41)</f>
        <v>43532</v>
      </c>
      <c r="I8" s="4">
        <f ca="1">IF(DAY(FevDom1)=1,FevDom1+35,FevDom1+42)</f>
        <v>43533</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1" t="s">
        <v>14</v>
      </c>
      <c r="D14" s="81"/>
      <c r="E14" s="81"/>
      <c r="F14" s="81"/>
      <c r="G14" s="81" t="s">
        <v>14</v>
      </c>
      <c r="H14" s="81"/>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1"/>
      <c r="D16" s="81"/>
      <c r="E16" s="81" t="s">
        <v>8</v>
      </c>
      <c r="F16" s="81"/>
      <c r="G16" s="81"/>
      <c r="H16" s="81"/>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1"/>
      <c r="D18" s="81"/>
      <c r="E18" s="81"/>
      <c r="F18" s="81"/>
      <c r="G18" s="81"/>
      <c r="H18" s="81"/>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1"/>
      <c r="D20" s="81"/>
      <c r="E20" s="81"/>
      <c r="F20" s="81"/>
      <c r="G20" s="81"/>
      <c r="H20" s="81"/>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1"/>
      <c r="D22" s="81"/>
      <c r="E22" s="81"/>
      <c r="F22" s="81"/>
      <c r="G22" s="81"/>
      <c r="H22" s="81"/>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1"/>
      <c r="D24" s="81"/>
      <c r="E24" s="81">
        <v>0.58333333333333337</v>
      </c>
      <c r="F24" s="81"/>
      <c r="G24" s="81"/>
      <c r="H24" s="81"/>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1"/>
      <c r="D26" s="81"/>
      <c r="E26" s="81"/>
      <c r="F26" s="81"/>
      <c r="G26" s="81"/>
      <c r="H26" s="81"/>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1">
        <v>0.66666666666666663</v>
      </c>
      <c r="D28" s="81"/>
      <c r="E28" s="81"/>
      <c r="F28" s="81"/>
      <c r="G28" s="81">
        <v>0.66666666666666663</v>
      </c>
      <c r="H28" s="81"/>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1"/>
      <c r="D30" s="81"/>
      <c r="E30" s="81"/>
      <c r="F30" s="81"/>
      <c r="G30" s="81"/>
      <c r="H30" s="81"/>
      <c r="I30" s="19"/>
      <c r="J30" s="32"/>
      <c r="K30" s="33"/>
      <c r="L30" s="35"/>
    </row>
    <row r="31" spans="1:12" ht="30" customHeight="1" x14ac:dyDescent="0.25">
      <c r="A31" s="23" t="s">
        <v>2</v>
      </c>
      <c r="B31" s="29"/>
      <c r="C31" s="79"/>
      <c r="D31" s="79"/>
      <c r="E31" s="79"/>
      <c r="F31" s="79"/>
      <c r="G31" s="79"/>
      <c r="H31" s="79"/>
      <c r="I31" s="28"/>
      <c r="J31" s="32"/>
      <c r="K31" s="33"/>
      <c r="L31" s="12"/>
    </row>
  </sheetData>
  <mergeCells count="63">
    <mergeCell ref="C11:D11"/>
    <mergeCell ref="E11:F11"/>
    <mergeCell ref="G11:H11"/>
    <mergeCell ref="C12:D12"/>
    <mergeCell ref="E12:F12"/>
    <mergeCell ref="G12:H12"/>
    <mergeCell ref="C13:D13"/>
    <mergeCell ref="E13:F13"/>
    <mergeCell ref="G13:H13"/>
    <mergeCell ref="C16:D16"/>
    <mergeCell ref="E16:F16"/>
    <mergeCell ref="G16:H16"/>
    <mergeCell ref="C14:D14"/>
    <mergeCell ref="E14:F14"/>
    <mergeCell ref="G14:H14"/>
    <mergeCell ref="C15:D15"/>
    <mergeCell ref="E15:F15"/>
    <mergeCell ref="G15:H15"/>
    <mergeCell ref="C17:D17"/>
    <mergeCell ref="E17:F17"/>
    <mergeCell ref="G17:H17"/>
    <mergeCell ref="C18:D18"/>
    <mergeCell ref="E18:F18"/>
    <mergeCell ref="G18:H18"/>
    <mergeCell ref="C21:D21"/>
    <mergeCell ref="E21:F21"/>
    <mergeCell ref="G21:H21"/>
    <mergeCell ref="C19:D19"/>
    <mergeCell ref="E19:F19"/>
    <mergeCell ref="G19:H19"/>
    <mergeCell ref="C20:D20"/>
    <mergeCell ref="E20:F20"/>
    <mergeCell ref="G20:H20"/>
    <mergeCell ref="C22:D22"/>
    <mergeCell ref="E22:F22"/>
    <mergeCell ref="G22:H22"/>
    <mergeCell ref="C23:D23"/>
    <mergeCell ref="E23:F23"/>
    <mergeCell ref="G23:H23"/>
    <mergeCell ref="C24:D24"/>
    <mergeCell ref="E24:F24"/>
    <mergeCell ref="G24:H24"/>
    <mergeCell ref="C25:D25"/>
    <mergeCell ref="E25:F25"/>
    <mergeCell ref="G25:H25"/>
    <mergeCell ref="C28:D28"/>
    <mergeCell ref="E28:F28"/>
    <mergeCell ref="G28:H28"/>
    <mergeCell ref="C26:D26"/>
    <mergeCell ref="E26:F26"/>
    <mergeCell ref="G26:H26"/>
    <mergeCell ref="C27:D27"/>
    <mergeCell ref="E27:F27"/>
    <mergeCell ref="G27:H27"/>
    <mergeCell ref="C31:D31"/>
    <mergeCell ref="E31:F31"/>
    <mergeCell ref="G31:H31"/>
    <mergeCell ref="C29:D29"/>
    <mergeCell ref="E29:F29"/>
    <mergeCell ref="G29:H29"/>
    <mergeCell ref="C30:D30"/>
    <mergeCell ref="E30:F30"/>
    <mergeCell ref="G30:H30"/>
  </mergeCells>
  <conditionalFormatting sqref="C3:H3">
    <cfRule type="expression" dxfId="89" priority="9" stopIfTrue="1">
      <formula>DAY(C3)&gt;8</formula>
    </cfRule>
  </conditionalFormatting>
  <conditionalFormatting sqref="C7:I8">
    <cfRule type="expression" dxfId="88" priority="8" stopIfTrue="1">
      <formula>AND(DAY(C7)&gt;=1,DAY(C7)&lt;=15)</formula>
    </cfRule>
  </conditionalFormatting>
  <conditionalFormatting sqref="C3:I8">
    <cfRule type="expression" dxfId="87" priority="10">
      <formula>VLOOKUP(DAY(C3),DiasTarefa,1,FALSE)=DAY(C3)</formula>
    </cfRule>
  </conditionalFormatting>
  <conditionalFormatting sqref="B13:I13 B15:I15 B17:I17 B19:I19 B21:I21 B23:I23 B25:I25 B27:I27 B29:I29 B31:I31">
    <cfRule type="expression" dxfId="86" priority="7">
      <formula>B13&lt;&gt;""</formula>
    </cfRule>
  </conditionalFormatting>
  <conditionalFormatting sqref="B12:I12 B14:I14 B16:I16 B18:I18 B20:I20 B22:I22 B24:I24 B26:I26 B28:I28 B30:I30">
    <cfRule type="expression" dxfId="85" priority="6">
      <formula>B12&lt;&gt;""</formula>
    </cfRule>
  </conditionalFormatting>
  <conditionalFormatting sqref="B13:I13 B15:I15 B17:I17 B19:I19 B21:I21 B23:I23 B25:I25 B27:I27 B29:I29">
    <cfRule type="expression" dxfId="84" priority="4">
      <formula>COLUMN(B12)&gt;=2</formula>
    </cfRule>
  </conditionalFormatting>
  <conditionalFormatting sqref="B12:I31">
    <cfRule type="expression" dxfId="83" priority="1">
      <formula>COLUMN(B12)&gt;2</formula>
    </cfRule>
  </conditionalFormatting>
  <dataValidations xWindow="95" yWindow="532" count="13">
    <dataValidation allowBlank="1" showInputMessage="1" showErrorMessage="1" prompt="O calendário de fevereiro destaca automaticamente as entradas da lista de tarefas do mês. As fontes mais escuras são tarefas. As fontes mais claras são dias que pertencem ao mês anterior ou seguinte" sqref="B2" xr:uid="{00000000-0002-0000-0100-000000000000}"/>
    <dataValidation allowBlank="1" showInputMessage="1" showErrorMessage="1" prompt="O ano civil é atualizado automaticamente. Para alterar o ano, atualize a célula B1 na planilha de janeiro" sqref="B1" xr:uid="{00000000-0002-0000-01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100-000002000000}"/>
    <dataValidation allowBlank="1" showInputMessage="1" showErrorMessage="1" prompt="Se esta célula não contiver o número 1, ela será um dia de um mês anterior. As células C3:I8 contêm datas do mês atual" sqref="C3" xr:uid="{00000000-0002-0000-0100-000003000000}"/>
    <dataValidation allowBlank="1" showInputMessage="1" showErrorMessage="1" prompt="Se esta linha contiver um número menor que o número ou a linha de números anterior, ela conterá datas para o próximo mês do calendário" sqref="C8" xr:uid="{00000000-0002-0000-0100-000004000000}"/>
    <dataValidation allowBlank="1" showInputMessage="1" showErrorMessage="1" prompt="Insira o horário nesta linha entre as colunas B e I" sqref="B12" xr:uid="{00000000-0002-0000-0100-000005000000}"/>
    <dataValidation allowBlank="1" showInputMessage="1" showErrorMessage="1" prompt="Insira a aula nesta linha entre as colunas B e I" sqref="B13" xr:uid="{00000000-0002-0000-01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100-000007000000}"/>
    <dataValidation allowBlank="1" showInputMessage="1" showErrorMessage="1" prompt="Insira os detalhes da tarefa nesta coluna, que corresponde ao dia da semana na coluna J e ao dia na coluna K para o mês do calendário à esquerda" sqref="L1" xr:uid="{00000000-0002-0000-0100-000008000000}"/>
    <dataValidation allowBlank="1" showInputMessage="1" showErrorMessage="1" prompt="Insira o dia do mês da tarefa nesta coluna, que corresponde ao dia da semana na coluna J. Essa data destacará a tarefa no calendário à esquerda" sqref="K1" xr:uid="{00000000-0002-0000-0100-000009000000}"/>
    <dataValidation allowBlank="1" showInputMessage="1" showErrorMessage="1" prompt="Os dias da semana estão nesta linha, de segunda a sexta" sqref="B11" xr:uid="{00000000-0002-0000-01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100-00000B000000}"/>
    <dataValidation allowBlank="1" showInputMessage="1" showErrorMessage="1" prompt="As células C2:I2 contêm dias da semana" sqref="C2" xr:uid="{00000000-0002-0000-01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28</v>
      </c>
      <c r="C2" s="5" t="s">
        <v>12</v>
      </c>
      <c r="D2" s="5" t="s">
        <v>5</v>
      </c>
      <c r="E2" s="5" t="s">
        <v>17</v>
      </c>
      <c r="F2" s="5" t="s">
        <v>18</v>
      </c>
      <c r="G2" s="5" t="s">
        <v>19</v>
      </c>
      <c r="H2" s="5" t="s">
        <v>21</v>
      </c>
      <c r="I2" s="5" t="s">
        <v>22</v>
      </c>
      <c r="J2" s="32" t="s">
        <v>5</v>
      </c>
      <c r="K2" s="33"/>
      <c r="L2" s="35"/>
    </row>
    <row r="3" spans="1:12" ht="30" customHeight="1" x14ac:dyDescent="0.25">
      <c r="A3" s="10"/>
      <c r="C3" s="4">
        <f ca="1">IF(DAY(MarDom1)=1,MarDom1-6,MarDom1+1)</f>
        <v>43520</v>
      </c>
      <c r="D3" s="4">
        <f ca="1">IF(DAY(MarDom1)=1,MarDom1-5,MarDom1+2)</f>
        <v>43521</v>
      </c>
      <c r="E3" s="4">
        <f ca="1">IF(DAY(MarDom1)=1,MarDom1-4,MarDom1+3)</f>
        <v>43522</v>
      </c>
      <c r="F3" s="4">
        <f ca="1">IF(DAY(MarDom1)=1,MarDom1-3,MarDom1+4)</f>
        <v>43523</v>
      </c>
      <c r="G3" s="4">
        <f ca="1">IF(DAY(MarDom1)=1,MarDom1-2,MarDom1+5)</f>
        <v>43524</v>
      </c>
      <c r="H3" s="4">
        <f ca="1">IF(DAY(MarDom1)=1,MarDom1-1,MarDom1+6)</f>
        <v>43525</v>
      </c>
      <c r="I3" s="4">
        <f ca="1">IF(DAY(MarDom1)=1,MarDom1,MarDom1+7)</f>
        <v>43526</v>
      </c>
      <c r="J3" s="32"/>
      <c r="K3" s="33"/>
      <c r="L3" s="35"/>
    </row>
    <row r="4" spans="1:12" ht="30" customHeight="1" x14ac:dyDescent="0.25">
      <c r="A4" s="10"/>
      <c r="C4" s="4">
        <f ca="1">IF(DAY(MarDom1)=1,MarDom1+1,MarDom1+8)</f>
        <v>43527</v>
      </c>
      <c r="D4" s="4">
        <f ca="1">IF(DAY(MarDom1)=1,MarDom1+2,MarDom1+9)</f>
        <v>43528</v>
      </c>
      <c r="E4" s="4">
        <f ca="1">IF(DAY(MarDom1)=1,MarDom1+3,MarDom1+10)</f>
        <v>43529</v>
      </c>
      <c r="F4" s="4">
        <f ca="1">IF(DAY(MarDom1)=1,MarDom1+4,MarDom1+11)</f>
        <v>43530</v>
      </c>
      <c r="G4" s="4">
        <f ca="1">IF(DAY(MarDom1)=1,MarDom1+5,MarDom1+12)</f>
        <v>43531</v>
      </c>
      <c r="H4" s="4">
        <f ca="1">IF(DAY(MarDom1)=1,MarDom1+6,MarDom1+13)</f>
        <v>43532</v>
      </c>
      <c r="I4" s="4">
        <f ca="1">IF(DAY(MarDom1)=1,MarDom1+7,MarDom1+14)</f>
        <v>43533</v>
      </c>
      <c r="J4" s="32"/>
      <c r="K4" s="33"/>
      <c r="L4" s="35"/>
    </row>
    <row r="5" spans="1:12" ht="30" customHeight="1" x14ac:dyDescent="0.25">
      <c r="A5" s="10"/>
      <c r="C5" s="4">
        <f ca="1">IF(DAY(MarDom1)=1,MarDom1+8,MarDom1+15)</f>
        <v>43534</v>
      </c>
      <c r="D5" s="4">
        <f ca="1">IF(DAY(MarDom1)=1,MarDom1+9,MarDom1+16)</f>
        <v>43535</v>
      </c>
      <c r="E5" s="4">
        <f ca="1">IF(DAY(MarDom1)=1,MarDom1+10,MarDom1+17)</f>
        <v>43536</v>
      </c>
      <c r="F5" s="4">
        <f ca="1">IF(DAY(MarDom1)=1,MarDom1+11,MarDom1+18)</f>
        <v>43537</v>
      </c>
      <c r="G5" s="4">
        <f ca="1">IF(DAY(MarDom1)=1,MarDom1+12,MarDom1+19)</f>
        <v>43538</v>
      </c>
      <c r="H5" s="4">
        <f ca="1">IF(DAY(MarDom1)=1,MarDom1+13,MarDom1+20)</f>
        <v>43539</v>
      </c>
      <c r="I5" s="4">
        <f ca="1">IF(DAY(MarDom1)=1,MarDom1+14,MarDom1+21)</f>
        <v>43540</v>
      </c>
      <c r="J5" s="32"/>
      <c r="K5" s="33"/>
      <c r="L5" s="35"/>
    </row>
    <row r="6" spans="1:12" ht="30" customHeight="1" x14ac:dyDescent="0.25">
      <c r="A6" s="10"/>
      <c r="C6" s="4">
        <f ca="1">IF(DAY(MarDom1)=1,MarDom1+15,MarDom1+22)</f>
        <v>43541</v>
      </c>
      <c r="D6" s="4">
        <f ca="1">IF(DAY(MarDom1)=1,MarDom1+16,MarDom1+23)</f>
        <v>43542</v>
      </c>
      <c r="E6" s="4">
        <f ca="1">IF(DAY(MarDom1)=1,MarDom1+17,MarDom1+24)</f>
        <v>43543</v>
      </c>
      <c r="F6" s="4">
        <f ca="1">IF(DAY(MarDom1)=1,MarDom1+18,MarDom1+25)</f>
        <v>43544</v>
      </c>
      <c r="G6" s="4">
        <f ca="1">IF(DAY(MarDom1)=1,MarDom1+19,MarDom1+26)</f>
        <v>43545</v>
      </c>
      <c r="H6" s="4">
        <f ca="1">IF(DAY(MarDom1)=1,MarDom1+20,MarDom1+27)</f>
        <v>43546</v>
      </c>
      <c r="I6" s="4">
        <f ca="1">IF(DAY(MarDom1)=1,MarDom1+21,MarDom1+28)</f>
        <v>43547</v>
      </c>
      <c r="J6" s="32"/>
      <c r="K6" s="33"/>
      <c r="L6" s="35"/>
    </row>
    <row r="7" spans="1:12" ht="30" customHeight="1" x14ac:dyDescent="0.25">
      <c r="A7" s="10"/>
      <c r="C7" s="4">
        <f ca="1">IF(DAY(MarDom1)=1,MarDom1+22,MarDom1+29)</f>
        <v>43548</v>
      </c>
      <c r="D7" s="4">
        <f ca="1">IF(DAY(MarDom1)=1,MarDom1+23,MarDom1+30)</f>
        <v>43549</v>
      </c>
      <c r="E7" s="4">
        <f ca="1">IF(DAY(MarDom1)=1,MarDom1+24,MarDom1+31)</f>
        <v>43550</v>
      </c>
      <c r="F7" s="4">
        <f ca="1">IF(DAY(MarDom1)=1,MarDom1+25,MarDom1+32)</f>
        <v>43551</v>
      </c>
      <c r="G7" s="4">
        <f ca="1">IF(DAY(MarDom1)=1,MarDom1+26,MarDom1+33)</f>
        <v>43552</v>
      </c>
      <c r="H7" s="4">
        <f ca="1">IF(DAY(MarDom1)=1,MarDom1+27,MarDom1+34)</f>
        <v>43553</v>
      </c>
      <c r="I7" s="4">
        <f ca="1">IF(DAY(MarDom1)=1,MarDom1+28,MarDom1+35)</f>
        <v>43554</v>
      </c>
      <c r="J7" s="16"/>
      <c r="K7" s="14"/>
      <c r="L7" s="36"/>
    </row>
    <row r="8" spans="1:12" ht="30" customHeight="1" x14ac:dyDescent="0.25">
      <c r="A8" s="10"/>
      <c r="B8" s="13"/>
      <c r="C8" s="4">
        <f ca="1">IF(DAY(MarDom1)=1,MarDom1+29,MarDom1+36)</f>
        <v>43555</v>
      </c>
      <c r="D8" s="4">
        <f ca="1">IF(DAY(MarDom1)=1,MarDom1+30,MarDom1+37)</f>
        <v>43556</v>
      </c>
      <c r="E8" s="4">
        <f ca="1">IF(DAY(MarDom1)=1,MarDom1+31,MarDom1+38)</f>
        <v>43557</v>
      </c>
      <c r="F8" s="4">
        <f ca="1">IF(DAY(MarDom1)=1,MarDom1+32,MarDom1+39)</f>
        <v>43558</v>
      </c>
      <c r="G8" s="4">
        <f ca="1">IF(DAY(MarDom1)=1,MarDom1+33,MarDom1+40)</f>
        <v>43559</v>
      </c>
      <c r="H8" s="4">
        <f ca="1">IF(DAY(MarDom1)=1,MarDom1+34,MarDom1+41)</f>
        <v>43560</v>
      </c>
      <c r="I8" s="4">
        <f ca="1">IF(DAY(MarDom1)=1,MarDom1+35,MarDom1+42)</f>
        <v>43561</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81" priority="6" stopIfTrue="1">
      <formula>DAY(C3)&gt;8</formula>
    </cfRule>
  </conditionalFormatting>
  <conditionalFormatting sqref="C7:I8">
    <cfRule type="expression" dxfId="80" priority="5" stopIfTrue="1">
      <formula>AND(DAY(C7)&gt;=1,DAY(C7)&lt;=15)</formula>
    </cfRule>
  </conditionalFormatting>
  <conditionalFormatting sqref="C3:I8">
    <cfRule type="expression" dxfId="79" priority="7">
      <formula>VLOOKUP(DAY(C3),DiasTarefa,1,FALSE)=DAY(C3)</formula>
    </cfRule>
  </conditionalFormatting>
  <conditionalFormatting sqref="B13:I13 B15:I15 B17:I17 B19:I19 B21:I21 B23:I23 B25:I25 B27:I27 B29:I29 B31:I31">
    <cfRule type="expression" dxfId="78" priority="4">
      <formula>B13&lt;&gt;""</formula>
    </cfRule>
  </conditionalFormatting>
  <conditionalFormatting sqref="B12:I12 B14:I14 B16:I16 B18:I18 B20:I20 B22:I22 B24:I24 B26:I26 B28:I28 B30:I30">
    <cfRule type="expression" dxfId="77" priority="3">
      <formula>B12&lt;&gt;""</formula>
    </cfRule>
  </conditionalFormatting>
  <conditionalFormatting sqref="B13:I13 B15:I15 B17:I17 B19:I19 B21:I21 B23:I23 B25:I25 B27:I27 B29:I29">
    <cfRule type="expression" dxfId="76" priority="2">
      <formula>COLUMN(B12)&gt;=2</formula>
    </cfRule>
  </conditionalFormatting>
  <conditionalFormatting sqref="B12:I31">
    <cfRule type="expression" dxfId="75" priority="1">
      <formula>COLUMN(B12)&gt;2</formula>
    </cfRule>
  </conditionalFormatting>
  <dataValidations count="13">
    <dataValidation allowBlank="1" showInputMessage="1" showErrorMessage="1" prompt="Insira a aula nesta linha entre as colunas B e I" sqref="B13" xr:uid="{00000000-0002-0000-0200-000000000000}"/>
    <dataValidation allowBlank="1" showInputMessage="1" showErrorMessage="1" prompt="Insira o horário nesta linha entre as colunas B e I" sqref="B12" xr:uid="{00000000-0002-0000-0200-000001000000}"/>
    <dataValidation allowBlank="1" showInputMessage="1" showErrorMessage="1" prompt="Se esta linha contiver um número menor que o número ou a linha de números anterior, ela conterá datas para o próximo mês do calendário" sqref="C8" xr:uid="{00000000-0002-0000-0200-000002000000}"/>
    <dataValidation allowBlank="1" showInputMessage="1" showErrorMessage="1" prompt="Se esta célula não contiver o número 1, ela será um dia de um mês anterior. As células C3:I8 contêm datas do mês atual" sqref="C3" xr:uid="{00000000-0002-0000-02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200-000004000000}"/>
    <dataValidation allowBlank="1" showInputMessage="1" showErrorMessage="1" prompt="O ano civil é atualizado automaticamente. Para alterar o ano, atualize a célula B1 na planilha de janeiro" sqref="B1" xr:uid="{00000000-0002-0000-0200-000005000000}"/>
    <dataValidation allowBlank="1" showInputMessage="1" showErrorMessage="1" prompt="O calendário de março destaca automaticamente as entradas da lista de tarefas do mês. As fontes mais escuras são tarefas. As fontes mais claras são dias que pertencem ao mês anterior ou seguinte" sqref="B2" xr:uid="{00000000-0002-0000-02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200-000007000000}"/>
    <dataValidation allowBlank="1" showInputMessage="1" showErrorMessage="1" prompt="Insira os detalhes da tarefa nesta coluna, que corresponde ao dia da semana na coluna J e ao dia na coluna K para o mês do calendário à esquerda" sqref="L1" xr:uid="{00000000-0002-0000-0200-000008000000}"/>
    <dataValidation allowBlank="1" showInputMessage="1" showErrorMessage="1" prompt="Insira o dia do mês da tarefa nesta coluna, que corresponde ao dia da semana na coluna J. Essa data destacará a tarefa no calendário à esquerda" sqref="K1" xr:uid="{00000000-0002-0000-0200-000009000000}"/>
    <dataValidation allowBlank="1" showInputMessage="1" showErrorMessage="1" prompt="Os dias da semana estão nesta linha, de segunda a sexta" sqref="B11" xr:uid="{00000000-0002-0000-02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200-00000B000000}"/>
    <dataValidation allowBlank="1" showInputMessage="1" showErrorMessage="1" prompt="As células C2:I2 contêm dias da semana" sqref="C2" xr:uid="{00000000-0002-0000-02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5"/>
  <cols>
    <col min="1" max="1" width="2.625" style="1" customWidth="1"/>
    <col min="2" max="2" width="20.625" style="12" customWidth="1"/>
    <col min="3" max="8" width="10.625" style="1" customWidth="1"/>
    <col min="9" max="9" width="20.625" style="1" customWidth="1"/>
    <col min="10" max="10" width="10.625" style="7"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29</v>
      </c>
      <c r="C2" s="5" t="s">
        <v>12</v>
      </c>
      <c r="D2" s="5" t="s">
        <v>5</v>
      </c>
      <c r="E2" s="5" t="s">
        <v>17</v>
      </c>
      <c r="F2" s="5" t="s">
        <v>18</v>
      </c>
      <c r="G2" s="5" t="s">
        <v>19</v>
      </c>
      <c r="H2" s="5" t="s">
        <v>21</v>
      </c>
      <c r="I2" s="5" t="s">
        <v>22</v>
      </c>
      <c r="J2" s="32" t="s">
        <v>5</v>
      </c>
      <c r="K2" s="33"/>
      <c r="L2" s="35"/>
    </row>
    <row r="3" spans="1:12" ht="30" customHeight="1" x14ac:dyDescent="0.25">
      <c r="A3" s="10"/>
      <c r="C3" s="4">
        <f ca="1">IF(DAY(AbrDom1)=1,AbrDom1-6,AbrDom1+1)</f>
        <v>43555</v>
      </c>
      <c r="D3" s="4">
        <f ca="1">IF(DAY(AbrDom1)=1,AbrDom1-5,AbrDom1+2)</f>
        <v>43556</v>
      </c>
      <c r="E3" s="4">
        <f ca="1">IF(DAY(AbrDom1)=1,AbrDom1-4,AbrDom1+3)</f>
        <v>43557</v>
      </c>
      <c r="F3" s="4">
        <f ca="1">IF(DAY(AbrDom1)=1,AbrDom1-3,AbrDom1+4)</f>
        <v>43558</v>
      </c>
      <c r="G3" s="4">
        <f ca="1">IF(DAY(AbrDom1)=1,AbrDom1-2,AbrDom1+5)</f>
        <v>43559</v>
      </c>
      <c r="H3" s="4">
        <f ca="1">IF(DAY(AbrDom1)=1,AbrDom1-1,AbrDom1+6)</f>
        <v>43560</v>
      </c>
      <c r="I3" s="4">
        <f ca="1">IF(DAY(AbrDom1)=1,AbrDom1,AbrDom1+7)</f>
        <v>43561</v>
      </c>
      <c r="J3" s="32"/>
      <c r="K3" s="33"/>
      <c r="L3" s="35"/>
    </row>
    <row r="4" spans="1:12" ht="30" customHeight="1" x14ac:dyDescent="0.25">
      <c r="A4" s="10"/>
      <c r="C4" s="4">
        <f ca="1">IF(DAY(AbrDom1)=1,AbrDom1+1,AbrDom1+8)</f>
        <v>43562</v>
      </c>
      <c r="D4" s="4">
        <f ca="1">IF(DAY(AbrDom1)=1,AbrDom1+2,AbrDom1+9)</f>
        <v>43563</v>
      </c>
      <c r="E4" s="4">
        <f ca="1">IF(DAY(AbrDom1)=1,AbrDom1+3,AbrDom1+10)</f>
        <v>43564</v>
      </c>
      <c r="F4" s="4">
        <f ca="1">IF(DAY(AbrDom1)=1,AbrDom1+4,AbrDom1+11)</f>
        <v>43565</v>
      </c>
      <c r="G4" s="4">
        <f ca="1">IF(DAY(AbrDom1)=1,AbrDom1+5,AbrDom1+12)</f>
        <v>43566</v>
      </c>
      <c r="H4" s="4">
        <f ca="1">IF(DAY(AbrDom1)=1,AbrDom1+6,AbrDom1+13)</f>
        <v>43567</v>
      </c>
      <c r="I4" s="4">
        <f ca="1">IF(DAY(AbrDom1)=1,AbrDom1+7,AbrDom1+14)</f>
        <v>43568</v>
      </c>
      <c r="J4" s="32"/>
      <c r="K4" s="33"/>
      <c r="L4" s="35"/>
    </row>
    <row r="5" spans="1:12" ht="30" customHeight="1" x14ac:dyDescent="0.25">
      <c r="A5" s="10"/>
      <c r="C5" s="4">
        <f ca="1">IF(DAY(AbrDom1)=1,AbrDom1+8,AbrDom1+15)</f>
        <v>43569</v>
      </c>
      <c r="D5" s="4">
        <f ca="1">IF(DAY(AbrDom1)=1,AbrDom1+9,AbrDom1+16)</f>
        <v>43570</v>
      </c>
      <c r="E5" s="4">
        <f ca="1">IF(DAY(AbrDom1)=1,AbrDom1+10,AbrDom1+17)</f>
        <v>43571</v>
      </c>
      <c r="F5" s="4">
        <f ca="1">IF(DAY(AbrDom1)=1,AbrDom1+11,AbrDom1+18)</f>
        <v>43572</v>
      </c>
      <c r="G5" s="4">
        <f ca="1">IF(DAY(AbrDom1)=1,AbrDom1+12,AbrDom1+19)</f>
        <v>43573</v>
      </c>
      <c r="H5" s="4">
        <f ca="1">IF(DAY(AbrDom1)=1,AbrDom1+13,AbrDom1+20)</f>
        <v>43574</v>
      </c>
      <c r="I5" s="4">
        <f ca="1">IF(DAY(AbrDom1)=1,AbrDom1+14,AbrDom1+21)</f>
        <v>43575</v>
      </c>
      <c r="J5" s="32"/>
      <c r="K5" s="33"/>
      <c r="L5" s="35"/>
    </row>
    <row r="6" spans="1:12" ht="30" customHeight="1" x14ac:dyDescent="0.25">
      <c r="A6" s="10"/>
      <c r="C6" s="4">
        <f ca="1">IF(DAY(AbrDom1)=1,AbrDom1+15,AbrDom1+22)</f>
        <v>43576</v>
      </c>
      <c r="D6" s="4">
        <f ca="1">IF(DAY(AbrDom1)=1,AbrDom1+16,AbrDom1+23)</f>
        <v>43577</v>
      </c>
      <c r="E6" s="4">
        <f ca="1">IF(DAY(AbrDom1)=1,AbrDom1+17,AbrDom1+24)</f>
        <v>43578</v>
      </c>
      <c r="F6" s="4">
        <f ca="1">IF(DAY(AbrDom1)=1,AbrDom1+18,AbrDom1+25)</f>
        <v>43579</v>
      </c>
      <c r="G6" s="4">
        <f ca="1">IF(DAY(AbrDom1)=1,AbrDom1+19,AbrDom1+26)</f>
        <v>43580</v>
      </c>
      <c r="H6" s="4">
        <f ca="1">IF(DAY(AbrDom1)=1,AbrDom1+20,AbrDom1+27)</f>
        <v>43581</v>
      </c>
      <c r="I6" s="4">
        <f ca="1">IF(DAY(AbrDom1)=1,AbrDom1+21,AbrDom1+28)</f>
        <v>43582</v>
      </c>
      <c r="J6" s="32"/>
      <c r="K6" s="33"/>
      <c r="L6" s="35"/>
    </row>
    <row r="7" spans="1:12" ht="30" customHeight="1" x14ac:dyDescent="0.25">
      <c r="A7" s="10"/>
      <c r="C7" s="4">
        <f ca="1">IF(DAY(AbrDom1)=1,AbrDom1+22,AbrDom1+29)</f>
        <v>43583</v>
      </c>
      <c r="D7" s="4">
        <f ca="1">IF(DAY(AbrDom1)=1,AbrDom1+23,AbrDom1+30)</f>
        <v>43584</v>
      </c>
      <c r="E7" s="4">
        <f ca="1">IF(DAY(AbrDom1)=1,AbrDom1+24,AbrDom1+31)</f>
        <v>43585</v>
      </c>
      <c r="F7" s="4">
        <f ca="1">IF(DAY(AbrDom1)=1,AbrDom1+25,AbrDom1+32)</f>
        <v>43586</v>
      </c>
      <c r="G7" s="4">
        <f ca="1">IF(DAY(AbrDom1)=1,AbrDom1+26,AbrDom1+33)</f>
        <v>43587</v>
      </c>
      <c r="H7" s="4">
        <f ca="1">IF(DAY(AbrDom1)=1,AbrDom1+27,AbrDom1+34)</f>
        <v>43588</v>
      </c>
      <c r="I7" s="4">
        <f ca="1">IF(DAY(AbrDom1)=1,AbrDom1+28,AbrDom1+35)</f>
        <v>43589</v>
      </c>
      <c r="J7" s="16"/>
      <c r="K7" s="14"/>
      <c r="L7" s="36"/>
    </row>
    <row r="8" spans="1:12" ht="30" customHeight="1" x14ac:dyDescent="0.25">
      <c r="A8" s="10"/>
      <c r="B8" s="13"/>
      <c r="C8" s="4">
        <f ca="1">IF(DAY(AbrDom1)=1,AbrDom1+29,AbrDom1+36)</f>
        <v>43590</v>
      </c>
      <c r="D8" s="4">
        <f ca="1">IF(DAY(AbrDom1)=1,AbrDom1+30,AbrDom1+37)</f>
        <v>43591</v>
      </c>
      <c r="E8" s="4">
        <f ca="1">IF(DAY(AbrDom1)=1,AbrDom1+31,AbrDom1+38)</f>
        <v>43592</v>
      </c>
      <c r="F8" s="4">
        <f ca="1">IF(DAY(AbrDom1)=1,AbrDom1+32,AbrDom1+39)</f>
        <v>43593</v>
      </c>
      <c r="G8" s="4">
        <f ca="1">IF(DAY(AbrDom1)=1,AbrDom1+33,AbrDom1+40)</f>
        <v>43594</v>
      </c>
      <c r="H8" s="4">
        <f ca="1">IF(DAY(AbrDom1)=1,AbrDom1+34,AbrDom1+41)</f>
        <v>43595</v>
      </c>
      <c r="I8" s="4">
        <f ca="1">IF(DAY(AbrDom1)=1,AbrDom1+35,AbrDom1+42)</f>
        <v>43596</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t="s">
        <v>30</v>
      </c>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73" priority="6" stopIfTrue="1">
      <formula>DAY(C3)&gt;8</formula>
    </cfRule>
  </conditionalFormatting>
  <conditionalFormatting sqref="C7:I8">
    <cfRule type="expression" dxfId="72" priority="5" stopIfTrue="1">
      <formula>AND(DAY(C7)&gt;=1,DAY(C7)&lt;=15)</formula>
    </cfRule>
  </conditionalFormatting>
  <conditionalFormatting sqref="C3:I8">
    <cfRule type="expression" dxfId="71" priority="7">
      <formula>VLOOKUP(DAY(C3),DiasTarefa,1,FALSE)=DAY(C3)</formula>
    </cfRule>
  </conditionalFormatting>
  <conditionalFormatting sqref="B13:I13 B15:I15 B17:I17 B19:I19 B21:I21 B23:I23 B25:I25 B27:I27 B29:I29 B31:I31">
    <cfRule type="expression" dxfId="70" priority="4">
      <formula>B13&lt;&gt;""</formula>
    </cfRule>
  </conditionalFormatting>
  <conditionalFormatting sqref="B12:I12 B14:I14 B16:I16 B18:I18 B20:I20 B22:I22 B24:I24 B26:I26 B28:I28 B30:I30">
    <cfRule type="expression" dxfId="69" priority="3">
      <formula>B12&lt;&gt;""</formula>
    </cfRule>
  </conditionalFormatting>
  <conditionalFormatting sqref="B13:I13 B15:I15 B17:I17 B19:I19 B21:I21 B23:I23 B25:I25 B27:I27 B29:I29">
    <cfRule type="expression" dxfId="68" priority="2">
      <formula>COLUMN(B12)&gt;=2</formula>
    </cfRule>
  </conditionalFormatting>
  <conditionalFormatting sqref="B12:I31">
    <cfRule type="expression" dxfId="67" priority="1">
      <formula>COLUMN(B12)&gt;2</formula>
    </cfRule>
  </conditionalFormatting>
  <dataValidations xWindow="209" yWindow="929" count="13">
    <dataValidation allowBlank="1" showInputMessage="1" showErrorMessage="1" prompt="O calendário de abril destaca automaticamente as entradas da lista de tarefas do mês. As fontes mais escuras são tarefas. As fontes mais claras são dias que pertencem ao mês anterior ou seguinte" sqref="B2" xr:uid="{00000000-0002-0000-0300-000000000000}"/>
    <dataValidation allowBlank="1" showInputMessage="1" showErrorMessage="1" prompt="O ano civil é atualizado automaticamente. Para alterar o ano, atualize a célula B1 na planilha de janeiro" sqref="B1" xr:uid="{00000000-0002-0000-03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300-000002000000}"/>
    <dataValidation allowBlank="1" showInputMessage="1" showErrorMessage="1" prompt="Se esta célula não contiver o número 1, ela será um dia de um mês anterior. As células C3:I8 contêm datas do mês atual" sqref="C3" xr:uid="{00000000-0002-0000-0300-000003000000}"/>
    <dataValidation allowBlank="1" showInputMessage="1" showErrorMessage="1" prompt="Se esta linha contiver um número menor que o número ou a linha de números anterior, ela conterá datas para o próximo mês do calendário" sqref="C8" xr:uid="{00000000-0002-0000-0300-000004000000}"/>
    <dataValidation allowBlank="1" showInputMessage="1" showErrorMessage="1" prompt="Insira o horário nesta linha entre as colunas B e I" sqref="B12" xr:uid="{00000000-0002-0000-0300-000005000000}"/>
    <dataValidation allowBlank="1" showInputMessage="1" showErrorMessage="1" prompt="Insira a aula nesta linha entre as colunas B e I" sqref="B13" xr:uid="{00000000-0002-0000-03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300-000007000000}"/>
    <dataValidation allowBlank="1" showInputMessage="1" showErrorMessage="1" prompt="Insira os detalhes da tarefa nesta coluna, que corresponde ao dia da semana na coluna J e ao dia na coluna K para o mês do calendário à esquerda" sqref="L1" xr:uid="{00000000-0002-0000-0300-000008000000}"/>
    <dataValidation allowBlank="1" showInputMessage="1" showErrorMessage="1" prompt="Insira o dia do mês da tarefa nesta coluna, que corresponde ao dia da semana na coluna J. Essa data destacará a tarefa no calendário à esquerda" sqref="K1" xr:uid="{00000000-0002-0000-0300-000009000000}"/>
    <dataValidation allowBlank="1" showInputMessage="1" showErrorMessage="1" prompt="Os dias da semana estão nesta linha, de segunda a sexta" sqref="B11" xr:uid="{00000000-0002-0000-03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300-00000B000000}"/>
    <dataValidation allowBlank="1" showInputMessage="1" showErrorMessage="1" prompt="As células C2:I2 contêm dias da semana" sqref="C2" xr:uid="{00000000-0002-0000-03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31</v>
      </c>
      <c r="C2" s="5" t="s">
        <v>12</v>
      </c>
      <c r="D2" s="5" t="s">
        <v>5</v>
      </c>
      <c r="E2" s="5" t="s">
        <v>17</v>
      </c>
      <c r="F2" s="5" t="s">
        <v>18</v>
      </c>
      <c r="G2" s="5" t="s">
        <v>19</v>
      </c>
      <c r="H2" s="5" t="s">
        <v>21</v>
      </c>
      <c r="I2" s="5" t="s">
        <v>22</v>
      </c>
      <c r="J2" s="32" t="s">
        <v>5</v>
      </c>
      <c r="K2" s="33"/>
      <c r="L2" s="35"/>
    </row>
    <row r="3" spans="1:12" ht="30" customHeight="1" x14ac:dyDescent="0.25">
      <c r="A3" s="10"/>
      <c r="C3" s="4">
        <f ca="1">IF(DAY(MaiDom1)=1,MaiDom1-6,MaiDom1+1)</f>
        <v>43583</v>
      </c>
      <c r="D3" s="4">
        <f ca="1">IF(DAY(MaiDom1)=1,MaiDom1-5,MaiDom1+2)</f>
        <v>43584</v>
      </c>
      <c r="E3" s="4">
        <f ca="1">IF(DAY(MaiDom1)=1,MaiDom1-4,MaiDom1+3)</f>
        <v>43585</v>
      </c>
      <c r="F3" s="4">
        <f ca="1">IF(DAY(MaiDom1)=1,MaiDom1-3,MaiDom1+4)</f>
        <v>43586</v>
      </c>
      <c r="G3" s="4">
        <f ca="1">IF(DAY(MaiDom1)=1,MaiDom1-2,MaiDom1+5)</f>
        <v>43587</v>
      </c>
      <c r="H3" s="4">
        <f ca="1">IF(DAY(MaiDom1)=1,MaiDom1-1,MaiDom1+6)</f>
        <v>43588</v>
      </c>
      <c r="I3" s="4">
        <f ca="1">IF(DAY(MaiDom1)=1,MaiDom1,MaiDom1+7)</f>
        <v>43589</v>
      </c>
      <c r="J3" s="32"/>
      <c r="K3" s="33"/>
      <c r="L3" s="35"/>
    </row>
    <row r="4" spans="1:12" ht="30" customHeight="1" x14ac:dyDescent="0.25">
      <c r="A4" s="10"/>
      <c r="C4" s="4">
        <f ca="1">IF(DAY(MaiDom1)=1,MaiDom1+1,MaiDom1+8)</f>
        <v>43590</v>
      </c>
      <c r="D4" s="4">
        <f ca="1">IF(DAY(MaiDom1)=1,MaiDom1+2,MaiDom1+9)</f>
        <v>43591</v>
      </c>
      <c r="E4" s="4">
        <f ca="1">IF(DAY(MaiDom1)=1,MaiDom1+3,MaiDom1+10)</f>
        <v>43592</v>
      </c>
      <c r="F4" s="4">
        <f ca="1">IF(DAY(MaiDom1)=1,MaiDom1+4,MaiDom1+11)</f>
        <v>43593</v>
      </c>
      <c r="G4" s="4">
        <f ca="1">IF(DAY(MaiDom1)=1,MaiDom1+5,MaiDom1+12)</f>
        <v>43594</v>
      </c>
      <c r="H4" s="4">
        <f ca="1">IF(DAY(MaiDom1)=1,MaiDom1+6,MaiDom1+13)</f>
        <v>43595</v>
      </c>
      <c r="I4" s="4">
        <f ca="1">IF(DAY(MaiDom1)=1,MaiDom1+7,MaiDom1+14)</f>
        <v>43596</v>
      </c>
      <c r="J4" s="32"/>
      <c r="K4" s="33"/>
      <c r="L4" s="35"/>
    </row>
    <row r="5" spans="1:12" ht="30" customHeight="1" x14ac:dyDescent="0.25">
      <c r="A5" s="10"/>
      <c r="C5" s="4">
        <f ca="1">IF(DAY(MaiDom1)=1,MaiDom1+8,MaiDom1+15)</f>
        <v>43597</v>
      </c>
      <c r="D5" s="4">
        <f ca="1">IF(DAY(MaiDom1)=1,MaiDom1+9,MaiDom1+16)</f>
        <v>43598</v>
      </c>
      <c r="E5" s="4">
        <f ca="1">IF(DAY(MaiDom1)=1,MaiDom1+10,MaiDom1+17)</f>
        <v>43599</v>
      </c>
      <c r="F5" s="4">
        <f ca="1">IF(DAY(MaiDom1)=1,MaiDom1+11,MaiDom1+18)</f>
        <v>43600</v>
      </c>
      <c r="G5" s="4">
        <f ca="1">IF(DAY(MaiDom1)=1,MaiDom1+12,MaiDom1+19)</f>
        <v>43601</v>
      </c>
      <c r="H5" s="4">
        <f ca="1">IF(DAY(MaiDom1)=1,MaiDom1+13,MaiDom1+20)</f>
        <v>43602</v>
      </c>
      <c r="I5" s="4">
        <f ca="1">IF(DAY(MaiDom1)=1,MaiDom1+14,MaiDom1+21)</f>
        <v>43603</v>
      </c>
      <c r="J5" s="32"/>
      <c r="K5" s="33"/>
      <c r="L5" s="35"/>
    </row>
    <row r="6" spans="1:12" ht="30" customHeight="1" x14ac:dyDescent="0.25">
      <c r="A6" s="10"/>
      <c r="C6" s="4">
        <f ca="1">IF(DAY(MaiDom1)=1,MaiDom1+15,MaiDom1+22)</f>
        <v>43604</v>
      </c>
      <c r="D6" s="4">
        <f ca="1">IF(DAY(MaiDom1)=1,MaiDom1+16,MaiDom1+23)</f>
        <v>43605</v>
      </c>
      <c r="E6" s="4">
        <f ca="1">IF(DAY(MaiDom1)=1,MaiDom1+17,MaiDom1+24)</f>
        <v>43606</v>
      </c>
      <c r="F6" s="4">
        <f ca="1">IF(DAY(MaiDom1)=1,MaiDom1+18,MaiDom1+25)</f>
        <v>43607</v>
      </c>
      <c r="G6" s="4">
        <f ca="1">IF(DAY(MaiDom1)=1,MaiDom1+19,MaiDom1+26)</f>
        <v>43608</v>
      </c>
      <c r="H6" s="4">
        <f ca="1">IF(DAY(MaiDom1)=1,MaiDom1+20,MaiDom1+27)</f>
        <v>43609</v>
      </c>
      <c r="I6" s="4">
        <f ca="1">IF(DAY(MaiDom1)=1,MaiDom1+21,MaiDom1+28)</f>
        <v>43610</v>
      </c>
      <c r="J6" s="32"/>
      <c r="K6" s="33"/>
      <c r="L6" s="35"/>
    </row>
    <row r="7" spans="1:12" ht="30" customHeight="1" x14ac:dyDescent="0.25">
      <c r="A7" s="10"/>
      <c r="C7" s="4">
        <f ca="1">IF(DAY(MaiDom1)=1,MaiDom1+22,MaiDom1+29)</f>
        <v>43611</v>
      </c>
      <c r="D7" s="4">
        <f ca="1">IF(DAY(MaiDom1)=1,MaiDom1+23,MaiDom1+30)</f>
        <v>43612</v>
      </c>
      <c r="E7" s="4">
        <f ca="1">IF(DAY(MaiDom1)=1,MaiDom1+24,MaiDom1+31)</f>
        <v>43613</v>
      </c>
      <c r="F7" s="4">
        <f ca="1">IF(DAY(MaiDom1)=1,MaiDom1+25,MaiDom1+32)</f>
        <v>43614</v>
      </c>
      <c r="G7" s="4">
        <f ca="1">IF(DAY(MaiDom1)=1,MaiDom1+26,MaiDom1+33)</f>
        <v>43615</v>
      </c>
      <c r="H7" s="4">
        <f ca="1">IF(DAY(MaiDom1)=1,MaiDom1+27,MaiDom1+34)</f>
        <v>43616</v>
      </c>
      <c r="I7" s="4">
        <f ca="1">IF(DAY(MaiDom1)=1,MaiDom1+28,MaiDom1+35)</f>
        <v>43617</v>
      </c>
      <c r="J7" s="16"/>
      <c r="K7" s="14"/>
      <c r="L7" s="36"/>
    </row>
    <row r="8" spans="1:12" ht="30" customHeight="1" x14ac:dyDescent="0.25">
      <c r="A8" s="10"/>
      <c r="B8" s="13"/>
      <c r="C8" s="4">
        <f ca="1">IF(DAY(MaiDom1)=1,MaiDom1+29,MaiDom1+36)</f>
        <v>43618</v>
      </c>
      <c r="D8" s="4">
        <f ca="1">IF(DAY(MaiDom1)=1,MaiDom1+30,MaiDom1+37)</f>
        <v>43619</v>
      </c>
      <c r="E8" s="4">
        <f ca="1">IF(DAY(MaiDom1)=1,MaiDom1+31,MaiDom1+38)</f>
        <v>43620</v>
      </c>
      <c r="F8" s="4">
        <f ca="1">IF(DAY(MaiDom1)=1,MaiDom1+32,MaiDom1+39)</f>
        <v>43621</v>
      </c>
      <c r="G8" s="4">
        <f ca="1">IF(DAY(MaiDom1)=1,MaiDom1+33,MaiDom1+40)</f>
        <v>43622</v>
      </c>
      <c r="H8" s="4">
        <f ca="1">IF(DAY(MaiDom1)=1,MaiDom1+34,MaiDom1+41)</f>
        <v>43623</v>
      </c>
      <c r="I8" s="4">
        <f ca="1">IF(DAY(MaiDom1)=1,MaiDom1+35,MaiDom1+42)</f>
        <v>43624</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9"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27"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65" priority="6" stopIfTrue="1">
      <formula>DAY(C3)&gt;8</formula>
    </cfRule>
  </conditionalFormatting>
  <conditionalFormatting sqref="C7:I8">
    <cfRule type="expression" dxfId="64" priority="5" stopIfTrue="1">
      <formula>AND(DAY(C7)&gt;=1,DAY(C7)&lt;=15)</formula>
    </cfRule>
  </conditionalFormatting>
  <conditionalFormatting sqref="C3:I8">
    <cfRule type="expression" dxfId="63" priority="7">
      <formula>VLOOKUP(DAY(C3),DiasTarefa,1,FALSE)=DAY(C3)</formula>
    </cfRule>
  </conditionalFormatting>
  <conditionalFormatting sqref="B13:I13 B15:I15 B17:I17 B19:I19 B21:I21 B23:I23 B25:I25 B27:I27 B29:I29 B31:I31">
    <cfRule type="expression" dxfId="62" priority="4">
      <formula>B13&lt;&gt;""</formula>
    </cfRule>
  </conditionalFormatting>
  <conditionalFormatting sqref="B14:I14 B16:I16 B18:I18 B20:I20 B22:I22 B24:I24 B26:I26 B28:I28 B30:I30 B12:I12">
    <cfRule type="expression" dxfId="61" priority="3">
      <formula>B12&lt;&gt;""</formula>
    </cfRule>
  </conditionalFormatting>
  <conditionalFormatting sqref="B13:I13 B15:I15 B17:I17 B19:I19 B21:I21 B23:I23 B25:I25 B27:I27 B29:I29">
    <cfRule type="expression" dxfId="60" priority="2">
      <formula>COLUMN(B12)&gt;=2</formula>
    </cfRule>
  </conditionalFormatting>
  <conditionalFormatting sqref="B12:I31">
    <cfRule type="expression" dxfId="59" priority="1">
      <formula>COLUMN(B11)&gt;2</formula>
    </cfRule>
  </conditionalFormatting>
  <dataValidations count="12">
    <dataValidation allowBlank="1" showInputMessage="1" showErrorMessage="1" prompt="Insira a aula nesta linha entre as colunas B e I" sqref="B13" xr:uid="{00000000-0002-0000-0400-000000000000}"/>
    <dataValidation allowBlank="1" showInputMessage="1" showErrorMessage="1" prompt="Se esta linha contiver um número menor que o número ou a linha de números anterior, ela conterá datas para o próximo mês do calendário" sqref="C8" xr:uid="{00000000-0002-0000-0400-000001000000}"/>
    <dataValidation allowBlank="1" showInputMessage="1" showErrorMessage="1" prompt="Se esta célula não contiver o número 1, ela será um dia de um mês anterior. As células C3:I8 contêm datas do mês atual" sqref="C3" xr:uid="{00000000-0002-0000-0400-000002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400-000003000000}"/>
    <dataValidation allowBlank="1" showInputMessage="1" showErrorMessage="1" prompt="O ano civil é atualizado automaticamente. Para alterar o ano, atualize a célula B1 na planilha de janeiro" sqref="B1" xr:uid="{00000000-0002-0000-0400-000004000000}"/>
    <dataValidation allowBlank="1" showInputMessage="1" showErrorMessage="1" prompt="O calendário de maio destaca automaticamente as entradas da lista de tarefas do mês. As fontes mais escuras são tarefas. As fontes mais claras são dias que pertencem ao mês anterior ou seguinte" sqref="B2" xr:uid="{00000000-0002-0000-0400-000005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400-000006000000}"/>
    <dataValidation allowBlank="1" showInputMessage="1" showErrorMessage="1" prompt="Insira os detalhes da tarefa nesta coluna, que corresponde ao dia da semana na coluna J e ao dia na coluna K para o mês do calendário à esquerda" sqref="L1" xr:uid="{00000000-0002-0000-0400-000007000000}"/>
    <dataValidation allowBlank="1" showInputMessage="1" showErrorMessage="1" prompt="Insira o dia do mês da tarefa nesta coluna, que corresponde ao dia da semana na coluna J. Essa data destacará a tarefa no calendário à esquerda" sqref="K1" xr:uid="{00000000-0002-0000-0400-000008000000}"/>
    <dataValidation allowBlank="1" showInputMessage="1" showErrorMessage="1" prompt="Os dias da semana estão nesta linha, de segunda a sexta" sqref="B11" xr:uid="{00000000-0002-0000-0400-000009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400-00000A000000}"/>
    <dataValidation allowBlank="1" showInputMessage="1" showErrorMessage="1" prompt="As células C2:I2 contêm dias da semana" sqref="C2" xr:uid="{00000000-0002-0000-0400-00000B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32</v>
      </c>
      <c r="C2" s="5" t="s">
        <v>12</v>
      </c>
      <c r="D2" s="5" t="s">
        <v>5</v>
      </c>
      <c r="E2" s="5" t="s">
        <v>17</v>
      </c>
      <c r="F2" s="5" t="s">
        <v>18</v>
      </c>
      <c r="G2" s="5" t="s">
        <v>19</v>
      </c>
      <c r="H2" s="5" t="s">
        <v>21</v>
      </c>
      <c r="I2" s="5" t="s">
        <v>22</v>
      </c>
      <c r="J2" s="32" t="s">
        <v>5</v>
      </c>
      <c r="K2" s="33"/>
      <c r="L2" s="35"/>
    </row>
    <row r="3" spans="1:12" ht="30" customHeight="1" x14ac:dyDescent="0.25">
      <c r="A3" s="10"/>
      <c r="C3" s="4">
        <f ca="1">IF(DAY(JunDom1)=1,JunDom1-6,JunDom1+1)</f>
        <v>43611</v>
      </c>
      <c r="D3" s="4">
        <f ca="1">IF(DAY(JunDom1)=1,JunDom1-5,JunDom1+2)</f>
        <v>43612</v>
      </c>
      <c r="E3" s="4">
        <f ca="1">IF(DAY(JunDom1)=1,JunDom1-4,JunDom1+3)</f>
        <v>43613</v>
      </c>
      <c r="F3" s="4">
        <f ca="1">IF(DAY(JunDom1)=1,JunDom1-3,JunDom1+4)</f>
        <v>43614</v>
      </c>
      <c r="G3" s="4">
        <f ca="1">IF(DAY(JunDom1)=1,JunDom1-2,JunDom1+5)</f>
        <v>43615</v>
      </c>
      <c r="H3" s="4">
        <f ca="1">IF(DAY(JunDom1)=1,JunDom1-1,JunDom1+6)</f>
        <v>43616</v>
      </c>
      <c r="I3" s="4">
        <f ca="1">IF(DAY(JunDom1)=1,JunDom1,JunDom1+7)</f>
        <v>43617</v>
      </c>
      <c r="J3" s="32"/>
      <c r="K3" s="33"/>
      <c r="L3" s="35"/>
    </row>
    <row r="4" spans="1:12" ht="30" customHeight="1" x14ac:dyDescent="0.25">
      <c r="A4" s="10"/>
      <c r="C4" s="4">
        <f ca="1">IF(DAY(JunDom1)=1,JunDom1+1,JunDom1+8)</f>
        <v>43618</v>
      </c>
      <c r="D4" s="4">
        <f ca="1">IF(DAY(JunDom1)=1,JunDom1+2,JunDom1+9)</f>
        <v>43619</v>
      </c>
      <c r="E4" s="4">
        <f ca="1">IF(DAY(JunDom1)=1,JunDom1+3,JunDom1+10)</f>
        <v>43620</v>
      </c>
      <c r="F4" s="4">
        <f ca="1">IF(DAY(JunDom1)=1,JunDom1+4,JunDom1+11)</f>
        <v>43621</v>
      </c>
      <c r="G4" s="4">
        <f ca="1">IF(DAY(JunDom1)=1,JunDom1+5,JunDom1+12)</f>
        <v>43622</v>
      </c>
      <c r="H4" s="4">
        <f ca="1">IF(DAY(JunDom1)=1,JunDom1+6,JunDom1+13)</f>
        <v>43623</v>
      </c>
      <c r="I4" s="4">
        <f ca="1">IF(DAY(JunDom1)=1,JunDom1+7,JunDom1+14)</f>
        <v>43624</v>
      </c>
      <c r="J4" s="32"/>
      <c r="K4" s="33"/>
      <c r="L4" s="35"/>
    </row>
    <row r="5" spans="1:12" ht="30" customHeight="1" x14ac:dyDescent="0.25">
      <c r="A5" s="10"/>
      <c r="C5" s="4">
        <f ca="1">IF(DAY(JunDom1)=1,JunDom1+8,JunDom1+15)</f>
        <v>43625</v>
      </c>
      <c r="D5" s="4">
        <f ca="1">IF(DAY(JunDom1)=1,JunDom1+9,JunDom1+16)</f>
        <v>43626</v>
      </c>
      <c r="E5" s="4">
        <f ca="1">IF(DAY(JunDom1)=1,JunDom1+10,JunDom1+17)</f>
        <v>43627</v>
      </c>
      <c r="F5" s="4">
        <f ca="1">IF(DAY(JunDom1)=1,JunDom1+11,JunDom1+18)</f>
        <v>43628</v>
      </c>
      <c r="G5" s="4">
        <f ca="1">IF(DAY(JunDom1)=1,JunDom1+12,JunDom1+19)</f>
        <v>43629</v>
      </c>
      <c r="H5" s="4">
        <f ca="1">IF(DAY(JunDom1)=1,JunDom1+13,JunDom1+20)</f>
        <v>43630</v>
      </c>
      <c r="I5" s="4">
        <f ca="1">IF(DAY(JunDom1)=1,JunDom1+14,JunDom1+21)</f>
        <v>43631</v>
      </c>
      <c r="J5" s="32"/>
      <c r="K5" s="33"/>
      <c r="L5" s="35"/>
    </row>
    <row r="6" spans="1:12" ht="30" customHeight="1" x14ac:dyDescent="0.25">
      <c r="A6" s="10"/>
      <c r="C6" s="4">
        <f ca="1">IF(DAY(JunDom1)=1,JunDom1+15,JunDom1+22)</f>
        <v>43632</v>
      </c>
      <c r="D6" s="4">
        <f ca="1">IF(DAY(JunDom1)=1,JunDom1+16,JunDom1+23)</f>
        <v>43633</v>
      </c>
      <c r="E6" s="4">
        <f ca="1">IF(DAY(JunDom1)=1,JunDom1+17,JunDom1+24)</f>
        <v>43634</v>
      </c>
      <c r="F6" s="4">
        <f ca="1">IF(DAY(JunDom1)=1,JunDom1+18,JunDom1+25)</f>
        <v>43635</v>
      </c>
      <c r="G6" s="4">
        <f ca="1">IF(DAY(JunDom1)=1,JunDom1+19,JunDom1+26)</f>
        <v>43636</v>
      </c>
      <c r="H6" s="4">
        <f ca="1">IF(DAY(JunDom1)=1,JunDom1+20,JunDom1+27)</f>
        <v>43637</v>
      </c>
      <c r="I6" s="4">
        <f ca="1">IF(DAY(JunDom1)=1,JunDom1+21,JunDom1+28)</f>
        <v>43638</v>
      </c>
      <c r="J6" s="32"/>
      <c r="K6" s="33"/>
      <c r="L6" s="35"/>
    </row>
    <row r="7" spans="1:12" ht="30" customHeight="1" x14ac:dyDescent="0.25">
      <c r="A7" s="10"/>
      <c r="C7" s="4">
        <f ca="1">IF(DAY(JunDom1)=1,JunDom1+22,JunDom1+29)</f>
        <v>43639</v>
      </c>
      <c r="D7" s="4">
        <f ca="1">IF(DAY(JunDom1)=1,JunDom1+23,JunDom1+30)</f>
        <v>43640</v>
      </c>
      <c r="E7" s="4">
        <f ca="1">IF(DAY(JunDom1)=1,JunDom1+24,JunDom1+31)</f>
        <v>43641</v>
      </c>
      <c r="F7" s="4">
        <f ca="1">IF(DAY(JunDom1)=1,JunDom1+25,JunDom1+32)</f>
        <v>43642</v>
      </c>
      <c r="G7" s="4">
        <f ca="1">IF(DAY(JunDom1)=1,JunDom1+26,JunDom1+33)</f>
        <v>43643</v>
      </c>
      <c r="H7" s="4">
        <f ca="1">IF(DAY(JunDom1)=1,JunDom1+27,JunDom1+34)</f>
        <v>43644</v>
      </c>
      <c r="I7" s="4">
        <f ca="1">IF(DAY(JunDom1)=1,JunDom1+28,JunDom1+35)</f>
        <v>43645</v>
      </c>
      <c r="J7" s="30"/>
      <c r="K7" s="34"/>
      <c r="L7" s="38"/>
    </row>
    <row r="8" spans="1:12" ht="30" customHeight="1" x14ac:dyDescent="0.25">
      <c r="A8" s="10"/>
      <c r="B8" s="13"/>
      <c r="C8" s="4">
        <f ca="1">IF(DAY(JunDom1)=1,JunDom1+29,JunDom1+36)</f>
        <v>43646</v>
      </c>
      <c r="D8" s="4">
        <f ca="1">IF(DAY(JunDom1)=1,JunDom1+30,JunDom1+37)</f>
        <v>43647</v>
      </c>
      <c r="E8" s="4">
        <f ca="1">IF(DAY(JunDom1)=1,JunDom1+31,JunDom1+38)</f>
        <v>43648</v>
      </c>
      <c r="F8" s="4">
        <f ca="1">IF(DAY(JunDom1)=1,JunDom1+32,JunDom1+39)</f>
        <v>43649</v>
      </c>
      <c r="G8" s="4">
        <f ca="1">IF(DAY(JunDom1)=1,JunDom1+33,JunDom1+40)</f>
        <v>43650</v>
      </c>
      <c r="H8" s="4">
        <f ca="1">IF(DAY(JunDom1)=1,JunDom1+34,JunDom1+41)</f>
        <v>43651</v>
      </c>
      <c r="I8" s="4">
        <f ca="1">IF(DAY(JunDom1)=1,JunDom1+35,JunDom1+42)</f>
        <v>43652</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57" priority="6" stopIfTrue="1">
      <formula>DAY(C3)&gt;8</formula>
    </cfRule>
  </conditionalFormatting>
  <conditionalFormatting sqref="C7:I8">
    <cfRule type="expression" dxfId="56" priority="5" stopIfTrue="1">
      <formula>AND(DAY(C7)&gt;=1,DAY(C7)&lt;=15)</formula>
    </cfRule>
  </conditionalFormatting>
  <conditionalFormatting sqref="C3:I8">
    <cfRule type="expression" dxfId="55" priority="7">
      <formula>VLOOKUP(DAY(C3),DiasTarefa,1,FALSE)=DAY(C3)</formula>
    </cfRule>
  </conditionalFormatting>
  <conditionalFormatting sqref="B13:I13 B15:I15 B17:I17 B19:I19 B21:I21 B23:I23 B25:I25 B27:I27 B29:I29 B31:I31">
    <cfRule type="expression" dxfId="54" priority="4">
      <formula>B13&lt;&gt;""</formula>
    </cfRule>
  </conditionalFormatting>
  <conditionalFormatting sqref="B12:I12 B14:I14 B16:I16 B18:I18 B20:I20 B22:I22 B24:I24 B26:I26 B28:I28 B30:I30">
    <cfRule type="expression" dxfId="53" priority="3">
      <formula>B12&lt;&gt;""</formula>
    </cfRule>
  </conditionalFormatting>
  <conditionalFormatting sqref="B13:I13 B15:I15 B17:I17 B19:I19 B21:I21 B23:I23 B25:I25 B27:I27 B29:I29">
    <cfRule type="expression" dxfId="52" priority="2">
      <formula>COLUMN(B13)&gt;=2</formula>
    </cfRule>
  </conditionalFormatting>
  <conditionalFormatting sqref="B12:I31">
    <cfRule type="expression" dxfId="51" priority="1">
      <formula>COLUMN(B12)&gt;2</formula>
    </cfRule>
  </conditionalFormatting>
  <dataValidations xWindow="282" yWindow="780" count="13">
    <dataValidation allowBlank="1" showInputMessage="1" showErrorMessage="1" prompt="O calendário de junho destaca automaticamente as entradas da lista de tarefas do mês. As fontes mais escuras são tarefas. As fontes mais claras são dias que pertencem ao mês anterior ou seguinte" sqref="B2" xr:uid="{00000000-0002-0000-0500-000000000000}"/>
    <dataValidation allowBlank="1" showInputMessage="1" showErrorMessage="1" prompt="O ano civil é atualizado automaticamente. Para alterar o ano, atualize a célula B1 na planilha de janeiro" sqref="B1" xr:uid="{00000000-0002-0000-05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500-000002000000}"/>
    <dataValidation allowBlank="1" showInputMessage="1" showErrorMessage="1" prompt="Se esta célula não contiver o número 1, ela será um dia de um mês anterior. As células C3:I8 contêm datas do mês atual" sqref="C3" xr:uid="{00000000-0002-0000-0500-000003000000}"/>
    <dataValidation allowBlank="1" showInputMessage="1" showErrorMessage="1" prompt="Se esta linha contiver um número menor que o número ou a linha de números anterior, ela conterá datas para o próximo mês do calendário" sqref="C8" xr:uid="{00000000-0002-0000-0500-000004000000}"/>
    <dataValidation allowBlank="1" showInputMessage="1" showErrorMessage="1" prompt="Insira o horário nesta linha entre as colunas B e I" sqref="B12" xr:uid="{00000000-0002-0000-0500-000005000000}"/>
    <dataValidation allowBlank="1" showInputMessage="1" showErrorMessage="1" prompt="Insira a aula nesta linha entre as colunas B e I" sqref="B13" xr:uid="{00000000-0002-0000-05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500-000007000000}"/>
    <dataValidation allowBlank="1" showInputMessage="1" showErrorMessage="1" prompt="Insira os detalhes da tarefa nesta coluna, que corresponde ao dia da semana na coluna J e ao dia na coluna K para o mês do calendário à esquerda" sqref="L1" xr:uid="{00000000-0002-0000-0500-000008000000}"/>
    <dataValidation allowBlank="1" showInputMessage="1" showErrorMessage="1" prompt="Insira o dia do mês da tarefa nesta coluna, que corresponde ao dia da semana na coluna J. Essa data destacará a tarefa no calendário à esquerda" sqref="K1" xr:uid="{00000000-0002-0000-0500-000009000000}"/>
    <dataValidation allowBlank="1" showInputMessage="1" showErrorMessage="1" prompt="Os dias da semana estão nesta linha, de segunda a sexta" sqref="B11" xr:uid="{00000000-0002-0000-05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500-00000B000000}"/>
    <dataValidation allowBlank="1" showInputMessage="1" showErrorMessage="1" prompt="As células C2:I2 contêm dias da semana" sqref="C2" xr:uid="{00000000-0002-0000-05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33</v>
      </c>
      <c r="C2" s="5" t="s">
        <v>12</v>
      </c>
      <c r="D2" s="5" t="s">
        <v>5</v>
      </c>
      <c r="E2" s="5" t="s">
        <v>17</v>
      </c>
      <c r="F2" s="5" t="s">
        <v>18</v>
      </c>
      <c r="G2" s="5" t="s">
        <v>19</v>
      </c>
      <c r="H2" s="5" t="s">
        <v>21</v>
      </c>
      <c r="I2" s="5" t="s">
        <v>22</v>
      </c>
      <c r="J2" s="32" t="s">
        <v>5</v>
      </c>
      <c r="K2" s="33"/>
      <c r="L2" s="35"/>
    </row>
    <row r="3" spans="1:12" ht="30" customHeight="1" x14ac:dyDescent="0.25">
      <c r="A3" s="10"/>
      <c r="C3" s="4">
        <f ca="1">IF(DAY(JulDom1)=1,JulDom1-6,JulDom1+1)</f>
        <v>43646</v>
      </c>
      <c r="D3" s="4">
        <f ca="1">IF(DAY(JulDom1)=1,JulDom1-5,JulDom1+2)</f>
        <v>43647</v>
      </c>
      <c r="E3" s="4">
        <f ca="1">IF(DAY(JulDom1)=1,JulDom1-4,JulDom1+3)</f>
        <v>43648</v>
      </c>
      <c r="F3" s="4">
        <f ca="1">IF(DAY(JulDom1)=1,JulDom1-3,JulDom1+4)</f>
        <v>43649</v>
      </c>
      <c r="G3" s="4">
        <f ca="1">IF(DAY(JulDom1)=1,JulDom1-2,JulDom1+5)</f>
        <v>43650</v>
      </c>
      <c r="H3" s="4">
        <f ca="1">IF(DAY(JulDom1)=1,JulDom1-1,JulDom1+6)</f>
        <v>43651</v>
      </c>
      <c r="I3" s="4">
        <f ca="1">IF(DAY(JulDom1)=1,JulDom1,JulDom1+7)</f>
        <v>43652</v>
      </c>
      <c r="J3" s="32"/>
      <c r="K3" s="33"/>
      <c r="L3" s="35"/>
    </row>
    <row r="4" spans="1:12" ht="30" customHeight="1" x14ac:dyDescent="0.25">
      <c r="A4" s="10"/>
      <c r="C4" s="4">
        <f ca="1">IF(DAY(JulDom1)=1,JulDom1+1,JulDom1+8)</f>
        <v>43653</v>
      </c>
      <c r="D4" s="4">
        <f ca="1">IF(DAY(JulDom1)=1,JulDom1+2,JulDom1+9)</f>
        <v>43654</v>
      </c>
      <c r="E4" s="4">
        <f ca="1">IF(DAY(JulDom1)=1,JulDom1+3,JulDom1+10)</f>
        <v>43655</v>
      </c>
      <c r="F4" s="4">
        <f ca="1">IF(DAY(JulDom1)=1,JulDom1+4,JulDom1+11)</f>
        <v>43656</v>
      </c>
      <c r="G4" s="4">
        <f ca="1">IF(DAY(JulDom1)=1,JulDom1+5,JulDom1+12)</f>
        <v>43657</v>
      </c>
      <c r="H4" s="4">
        <f ca="1">IF(DAY(JulDom1)=1,JulDom1+6,JulDom1+13)</f>
        <v>43658</v>
      </c>
      <c r="I4" s="4">
        <f ca="1">IF(DAY(JulDom1)=1,JulDom1+7,JulDom1+14)</f>
        <v>43659</v>
      </c>
      <c r="J4" s="32"/>
      <c r="K4" s="33"/>
      <c r="L4" s="35"/>
    </row>
    <row r="5" spans="1:12" ht="30" customHeight="1" x14ac:dyDescent="0.25">
      <c r="A5" s="10"/>
      <c r="C5" s="4">
        <f ca="1">IF(DAY(JulDom1)=1,JulDom1+8,JulDom1+15)</f>
        <v>43660</v>
      </c>
      <c r="D5" s="4">
        <f ca="1">IF(DAY(JulDom1)=1,JulDom1+9,JulDom1+16)</f>
        <v>43661</v>
      </c>
      <c r="E5" s="4">
        <f ca="1">IF(DAY(JulDom1)=1,JulDom1+10,JulDom1+17)</f>
        <v>43662</v>
      </c>
      <c r="F5" s="4">
        <f ca="1">IF(DAY(JulDom1)=1,JulDom1+11,JulDom1+18)</f>
        <v>43663</v>
      </c>
      <c r="G5" s="4">
        <f ca="1">IF(DAY(JulDom1)=1,JulDom1+12,JulDom1+19)</f>
        <v>43664</v>
      </c>
      <c r="H5" s="4">
        <f ca="1">IF(DAY(JulDom1)=1,JulDom1+13,JulDom1+20)</f>
        <v>43665</v>
      </c>
      <c r="I5" s="4">
        <f ca="1">IF(DAY(JulDom1)=1,JulDom1+14,JulDom1+21)</f>
        <v>43666</v>
      </c>
      <c r="J5" s="32"/>
      <c r="K5" s="33"/>
      <c r="L5" s="35"/>
    </row>
    <row r="6" spans="1:12" ht="30" customHeight="1" x14ac:dyDescent="0.25">
      <c r="A6" s="10"/>
      <c r="C6" s="4">
        <f ca="1">IF(DAY(JulDom1)=1,JulDom1+15,JulDom1+22)</f>
        <v>43667</v>
      </c>
      <c r="D6" s="4">
        <f ca="1">IF(DAY(JulDom1)=1,JulDom1+16,JulDom1+23)</f>
        <v>43668</v>
      </c>
      <c r="E6" s="4">
        <f ca="1">IF(DAY(JulDom1)=1,JulDom1+17,JulDom1+24)</f>
        <v>43669</v>
      </c>
      <c r="F6" s="4">
        <f ca="1">IF(DAY(JulDom1)=1,JulDom1+18,JulDom1+25)</f>
        <v>43670</v>
      </c>
      <c r="G6" s="4">
        <f ca="1">IF(DAY(JulDom1)=1,JulDom1+19,JulDom1+26)</f>
        <v>43671</v>
      </c>
      <c r="H6" s="4">
        <f ca="1">IF(DAY(JulDom1)=1,JulDom1+20,JulDom1+27)</f>
        <v>43672</v>
      </c>
      <c r="I6" s="4">
        <f ca="1">IF(DAY(JulDom1)=1,JulDom1+21,JulDom1+28)</f>
        <v>43673</v>
      </c>
      <c r="J6" s="32"/>
      <c r="K6" s="33"/>
      <c r="L6" s="35"/>
    </row>
    <row r="7" spans="1:12" ht="30" customHeight="1" x14ac:dyDescent="0.25">
      <c r="A7" s="10"/>
      <c r="C7" s="4">
        <f ca="1">IF(DAY(JulDom1)=1,JulDom1+22,JulDom1+29)</f>
        <v>43674</v>
      </c>
      <c r="D7" s="4">
        <f ca="1">IF(DAY(JulDom1)=1,JulDom1+23,JulDom1+30)</f>
        <v>43675</v>
      </c>
      <c r="E7" s="4">
        <f ca="1">IF(DAY(JulDom1)=1,JulDom1+24,JulDom1+31)</f>
        <v>43676</v>
      </c>
      <c r="F7" s="4">
        <f ca="1">IF(DAY(JulDom1)=1,JulDom1+25,JulDom1+32)</f>
        <v>43677</v>
      </c>
      <c r="G7" s="4">
        <f ca="1">IF(DAY(JulDom1)=1,JulDom1+26,JulDom1+33)</f>
        <v>43678</v>
      </c>
      <c r="H7" s="4">
        <f ca="1">IF(DAY(JulDom1)=1,JulDom1+27,JulDom1+34)</f>
        <v>43679</v>
      </c>
      <c r="I7" s="4">
        <f ca="1">IF(DAY(JulDom1)=1,JulDom1+28,JulDom1+35)</f>
        <v>43680</v>
      </c>
      <c r="J7" s="16"/>
      <c r="K7" s="14"/>
      <c r="L7" s="36"/>
    </row>
    <row r="8" spans="1:12" ht="30" customHeight="1" x14ac:dyDescent="0.25">
      <c r="A8" s="10"/>
      <c r="B8" s="13"/>
      <c r="C8" s="4">
        <f ca="1">IF(DAY(JulDom1)=1,JulDom1+29,JulDom1+36)</f>
        <v>43681</v>
      </c>
      <c r="D8" s="4">
        <f ca="1">IF(DAY(JulDom1)=1,JulDom1+30,JulDom1+37)</f>
        <v>43682</v>
      </c>
      <c r="E8" s="4">
        <f ca="1">IF(DAY(JulDom1)=1,JulDom1+31,JulDom1+38)</f>
        <v>43683</v>
      </c>
      <c r="F8" s="4">
        <f ca="1">IF(DAY(JulDom1)=1,JulDom1+32,JulDom1+39)</f>
        <v>43684</v>
      </c>
      <c r="G8" s="4">
        <f ca="1">IF(DAY(JulDom1)=1,JulDom1+33,JulDom1+40)</f>
        <v>43685</v>
      </c>
      <c r="H8" s="4">
        <f ca="1">IF(DAY(JulDom1)=1,JulDom1+34,JulDom1+41)</f>
        <v>43686</v>
      </c>
      <c r="I8" s="4">
        <f ca="1">IF(DAY(JulDom1)=1,JulDom1+35,JulDom1+42)</f>
        <v>43687</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49" priority="6" stopIfTrue="1">
      <formula>DAY(C3)&gt;8</formula>
    </cfRule>
  </conditionalFormatting>
  <conditionalFormatting sqref="C7:I8">
    <cfRule type="expression" dxfId="48" priority="5" stopIfTrue="1">
      <formula>AND(DAY(C7)&gt;=1,DAY(C7)&lt;=15)</formula>
    </cfRule>
  </conditionalFormatting>
  <conditionalFormatting sqref="C3:I8">
    <cfRule type="expression" dxfId="47" priority="7">
      <formula>VLOOKUP(DAY(C3),DiasTarefa,1,FALSE)=DAY(C3)</formula>
    </cfRule>
  </conditionalFormatting>
  <conditionalFormatting sqref="B12:I12 B14:I14 B16:I16 B18:I18 B20:I20 B22:I22 B24:I24 B26:I26 B28:I28 B30:I30">
    <cfRule type="expression" dxfId="46" priority="4">
      <formula>B12&lt;&gt;""</formula>
    </cfRule>
  </conditionalFormatting>
  <conditionalFormatting sqref="B13:I13 B15:I15 B17:I17 B19:I19 B21:I21 B23:I23 B25:I25 B27:I27 B29:I29 B31:I31">
    <cfRule type="expression" dxfId="45" priority="3">
      <formula>B13&lt;&gt;""</formula>
    </cfRule>
  </conditionalFormatting>
  <conditionalFormatting sqref="B13:I13 B15:I15 B17:I17 B19:I19 B21:I21 B23:I23 B25:I25 B27:I27 B29:I29">
    <cfRule type="expression" dxfId="44" priority="2">
      <formula>COLUMN(B13)&gt;=2</formula>
    </cfRule>
  </conditionalFormatting>
  <conditionalFormatting sqref="B12:I31">
    <cfRule type="expression" dxfId="43" priority="1">
      <formula>COLUMN(B12)&gt;2</formula>
    </cfRule>
  </conditionalFormatting>
  <dataValidations xWindow="239" yWindow="583" count="13">
    <dataValidation allowBlank="1" showInputMessage="1" showErrorMessage="1" prompt="Insira a aula nesta linha entre as colunas B e I" sqref="B13" xr:uid="{00000000-0002-0000-0600-000000000000}"/>
    <dataValidation allowBlank="1" showInputMessage="1" showErrorMessage="1" prompt="Insira o horário nesta linha entre as colunas B e I" sqref="B12" xr:uid="{00000000-0002-0000-0600-000001000000}"/>
    <dataValidation allowBlank="1" showInputMessage="1" showErrorMessage="1" prompt="Se esta linha contiver um número menor que o número ou a linha de números anterior, ela conterá datas para o próximo mês do calendário" sqref="C8" xr:uid="{00000000-0002-0000-0600-000002000000}"/>
    <dataValidation allowBlank="1" showInputMessage="1" showErrorMessage="1" prompt="Se esta célula não contiver o número 1, ela será um dia de um mês anterior. As células C3:I8 contêm datas do mês atual" sqref="C3" xr:uid="{00000000-0002-0000-06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600-000004000000}"/>
    <dataValidation allowBlank="1" showInputMessage="1" showErrorMessage="1" prompt="O ano civil é atualizado automaticamente. Para alterar o ano, atualize a célula B1 na planilha de janeiro" sqref="B1" xr:uid="{00000000-0002-0000-0600-000005000000}"/>
    <dataValidation allowBlank="1" showInputMessage="1" showErrorMessage="1" prompt="O calendário de julho destaca automaticamente as entradas da lista de tarefas do mês. As fontes mais escuras são tarefas. As fontes mais claras são dias que pertencem ao mês anterior ou seguinte" sqref="B2" xr:uid="{00000000-0002-0000-06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600-000007000000}"/>
    <dataValidation allowBlank="1" showInputMessage="1" showErrorMessage="1" prompt="Insira os detalhes da tarefa nesta coluna, que corresponde ao dia da semana na coluna J e ao dia na coluna K para o mês do calendário à esquerda" sqref="L1" xr:uid="{00000000-0002-0000-0600-000008000000}"/>
    <dataValidation allowBlank="1" showInputMessage="1" showErrorMessage="1" prompt="Insira o dia do mês da tarefa nesta coluna, que corresponde ao dia da semana na coluna J. Essa data destacará a tarefa no calendário à esquerda" sqref="K1" xr:uid="{00000000-0002-0000-0600-000009000000}"/>
    <dataValidation allowBlank="1" showInputMessage="1" showErrorMessage="1" prompt="Os dias da semana estão nesta linha, de segunda a sexta" sqref="B11" xr:uid="{00000000-0002-0000-06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600-00000B000000}"/>
    <dataValidation allowBlank="1" showInputMessage="1" showErrorMessage="1" prompt="As células C2:I2 contêm dias da semana" sqref="C2" xr:uid="{00000000-0002-0000-06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34</v>
      </c>
      <c r="C2" s="5" t="s">
        <v>12</v>
      </c>
      <c r="D2" s="5" t="s">
        <v>5</v>
      </c>
      <c r="E2" s="5" t="s">
        <v>17</v>
      </c>
      <c r="F2" s="5" t="s">
        <v>18</v>
      </c>
      <c r="G2" s="5" t="s">
        <v>19</v>
      </c>
      <c r="H2" s="5" t="s">
        <v>21</v>
      </c>
      <c r="I2" s="5" t="s">
        <v>22</v>
      </c>
      <c r="J2" s="32" t="s">
        <v>5</v>
      </c>
      <c r="K2" s="33"/>
      <c r="L2" s="35"/>
    </row>
    <row r="3" spans="1:12" ht="30" customHeight="1" x14ac:dyDescent="0.25">
      <c r="A3" s="10"/>
      <c r="C3" s="4">
        <f ca="1">IF(DAY(AgoDom1)=1,AgoDom1-6,AgoDom1+1)</f>
        <v>43674</v>
      </c>
      <c r="D3" s="4">
        <f ca="1">IF(DAY(AgoDom1)=1,AgoDom1-5,AgoDom1+2)</f>
        <v>43675</v>
      </c>
      <c r="E3" s="4">
        <f ca="1">IF(DAY(AgoDom1)=1,AgoDom1-4,AgoDom1+3)</f>
        <v>43676</v>
      </c>
      <c r="F3" s="4">
        <f ca="1">IF(DAY(AgoDom1)=1,AgoDom1-3,AgoDom1+4)</f>
        <v>43677</v>
      </c>
      <c r="G3" s="4">
        <f ca="1">IF(DAY(AgoDom1)=1,AgoDom1-2,AgoDom1+5)</f>
        <v>43678</v>
      </c>
      <c r="H3" s="4">
        <f ca="1">IF(DAY(AgoDom1)=1,AgoDom1-1,AgoDom1+6)</f>
        <v>43679</v>
      </c>
      <c r="I3" s="4">
        <f ca="1">IF(DAY(AgoDom1)=1,AgoDom1,AgoDom1+7)</f>
        <v>43680</v>
      </c>
      <c r="J3" s="32"/>
      <c r="K3" s="33"/>
      <c r="L3" s="35"/>
    </row>
    <row r="4" spans="1:12" ht="30" customHeight="1" x14ac:dyDescent="0.25">
      <c r="A4" s="10"/>
      <c r="C4" s="4">
        <f ca="1">IF(DAY(AgoDom1)=1,AgoDom1+1,AgoDom1+8)</f>
        <v>43681</v>
      </c>
      <c r="D4" s="4">
        <f ca="1">IF(DAY(AgoDom1)=1,AgoDom1+2,AgoDom1+9)</f>
        <v>43682</v>
      </c>
      <c r="E4" s="4">
        <f ca="1">IF(DAY(AgoDom1)=1,AgoDom1+3,AgoDom1+10)</f>
        <v>43683</v>
      </c>
      <c r="F4" s="4">
        <f ca="1">IF(DAY(AgoDom1)=1,AgoDom1+4,AgoDom1+11)</f>
        <v>43684</v>
      </c>
      <c r="G4" s="4">
        <f ca="1">IF(DAY(AgoDom1)=1,AgoDom1+5,AgoDom1+12)</f>
        <v>43685</v>
      </c>
      <c r="H4" s="4">
        <f ca="1">IF(DAY(AgoDom1)=1,AgoDom1+6,AgoDom1+13)</f>
        <v>43686</v>
      </c>
      <c r="I4" s="4">
        <f ca="1">IF(DAY(AgoDom1)=1,AgoDom1+7,AgoDom1+14)</f>
        <v>43687</v>
      </c>
      <c r="J4" s="32"/>
      <c r="K4" s="33"/>
      <c r="L4" s="35"/>
    </row>
    <row r="5" spans="1:12" ht="30" customHeight="1" x14ac:dyDescent="0.25">
      <c r="A5" s="10"/>
      <c r="C5" s="4">
        <f ca="1">IF(DAY(AgoDom1)=1,AgoDom1+8,AgoDom1+15)</f>
        <v>43688</v>
      </c>
      <c r="D5" s="4">
        <f ca="1">IF(DAY(AgoDom1)=1,AgoDom1+9,AgoDom1+16)</f>
        <v>43689</v>
      </c>
      <c r="E5" s="4">
        <f ca="1">IF(DAY(AgoDom1)=1,AgoDom1+10,AgoDom1+17)</f>
        <v>43690</v>
      </c>
      <c r="F5" s="4">
        <f ca="1">IF(DAY(AgoDom1)=1,AgoDom1+11,AgoDom1+18)</f>
        <v>43691</v>
      </c>
      <c r="G5" s="4">
        <f ca="1">IF(DAY(AgoDom1)=1,AgoDom1+12,AgoDom1+19)</f>
        <v>43692</v>
      </c>
      <c r="H5" s="4">
        <f ca="1">IF(DAY(AgoDom1)=1,AgoDom1+13,AgoDom1+20)</f>
        <v>43693</v>
      </c>
      <c r="I5" s="4">
        <f ca="1">IF(DAY(AgoDom1)=1,AgoDom1+14,AgoDom1+21)</f>
        <v>43694</v>
      </c>
      <c r="J5" s="32"/>
      <c r="K5" s="33"/>
      <c r="L5" s="35"/>
    </row>
    <row r="6" spans="1:12" ht="30" customHeight="1" x14ac:dyDescent="0.25">
      <c r="A6" s="10"/>
      <c r="C6" s="4">
        <f ca="1">IF(DAY(AgoDom1)=1,AgoDom1+15,AgoDom1+22)</f>
        <v>43695</v>
      </c>
      <c r="D6" s="4">
        <f ca="1">IF(DAY(AgoDom1)=1,AgoDom1+16,AgoDom1+23)</f>
        <v>43696</v>
      </c>
      <c r="E6" s="4">
        <f ca="1">IF(DAY(AgoDom1)=1,AgoDom1+17,AgoDom1+24)</f>
        <v>43697</v>
      </c>
      <c r="F6" s="4">
        <f ca="1">IF(DAY(AgoDom1)=1,AgoDom1+18,AgoDom1+25)</f>
        <v>43698</v>
      </c>
      <c r="G6" s="4">
        <f ca="1">IF(DAY(AgoDom1)=1,AgoDom1+19,AgoDom1+26)</f>
        <v>43699</v>
      </c>
      <c r="H6" s="4">
        <f ca="1">IF(DAY(AgoDom1)=1,AgoDom1+20,AgoDom1+27)</f>
        <v>43700</v>
      </c>
      <c r="I6" s="4">
        <f ca="1">IF(DAY(AgoDom1)=1,AgoDom1+21,AgoDom1+28)</f>
        <v>43701</v>
      </c>
      <c r="J6" s="32"/>
      <c r="K6" s="33"/>
      <c r="L6" s="35"/>
    </row>
    <row r="7" spans="1:12" ht="30" customHeight="1" x14ac:dyDescent="0.25">
      <c r="A7" s="10"/>
      <c r="C7" s="4">
        <f ca="1">IF(DAY(AgoDom1)=1,AgoDom1+22,AgoDom1+29)</f>
        <v>43702</v>
      </c>
      <c r="D7" s="4">
        <f ca="1">IF(DAY(AgoDom1)=1,AgoDom1+23,AgoDom1+30)</f>
        <v>43703</v>
      </c>
      <c r="E7" s="4">
        <f ca="1">IF(DAY(AgoDom1)=1,AgoDom1+24,AgoDom1+31)</f>
        <v>43704</v>
      </c>
      <c r="F7" s="4">
        <f ca="1">IF(DAY(AgoDom1)=1,AgoDom1+25,AgoDom1+32)</f>
        <v>43705</v>
      </c>
      <c r="G7" s="4">
        <f ca="1">IF(DAY(AgoDom1)=1,AgoDom1+26,AgoDom1+33)</f>
        <v>43706</v>
      </c>
      <c r="H7" s="4">
        <f ca="1">IF(DAY(AgoDom1)=1,AgoDom1+27,AgoDom1+34)</f>
        <v>43707</v>
      </c>
      <c r="I7" s="4">
        <f ca="1">IF(DAY(AgoDom1)=1,AgoDom1+28,AgoDom1+35)</f>
        <v>43708</v>
      </c>
      <c r="J7" s="16"/>
      <c r="K7" s="14"/>
      <c r="L7" s="36"/>
    </row>
    <row r="8" spans="1:12" ht="30" customHeight="1" x14ac:dyDescent="0.25">
      <c r="A8" s="10"/>
      <c r="B8" s="13"/>
      <c r="C8" s="4">
        <f ca="1">IF(DAY(AgoDom1)=1,AgoDom1+29,AgoDom1+36)</f>
        <v>43709</v>
      </c>
      <c r="D8" s="4">
        <f ca="1">IF(DAY(AgoDom1)=1,AgoDom1+30,AgoDom1+37)</f>
        <v>43710</v>
      </c>
      <c r="E8" s="4">
        <f ca="1">IF(DAY(AgoDom1)=1,AgoDom1+31,AgoDom1+38)</f>
        <v>43711</v>
      </c>
      <c r="F8" s="4">
        <f ca="1">IF(DAY(AgoDom1)=1,AgoDom1+32,AgoDom1+39)</f>
        <v>43712</v>
      </c>
      <c r="G8" s="4">
        <f ca="1">IF(DAY(AgoDom1)=1,AgoDom1+33,AgoDom1+40)</f>
        <v>43713</v>
      </c>
      <c r="H8" s="4">
        <f ca="1">IF(DAY(AgoDom1)=1,AgoDom1+34,AgoDom1+41)</f>
        <v>43714</v>
      </c>
      <c r="I8" s="4">
        <f ca="1">IF(DAY(AgoDom1)=1,AgoDom1+35,AgoDom1+42)</f>
        <v>43715</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41" priority="6" stopIfTrue="1">
      <formula>DAY(C3)&gt;8</formula>
    </cfRule>
  </conditionalFormatting>
  <conditionalFormatting sqref="C7:I8">
    <cfRule type="expression" dxfId="40" priority="5" stopIfTrue="1">
      <formula>AND(DAY(C7)&gt;=1,DAY(C7)&lt;=15)</formula>
    </cfRule>
  </conditionalFormatting>
  <conditionalFormatting sqref="C3:I8">
    <cfRule type="expression" dxfId="39" priority="7">
      <formula>VLOOKUP(DAY(C3),DiasTarefa,1,FALSE)=DAY(C3)</formula>
    </cfRule>
  </conditionalFormatting>
  <conditionalFormatting sqref="B12:I12 B14:I14 B16:I16 B18:I18 B20:I20 B22:I22 B24:I24 B26:I26 B28:I28 B30:I30">
    <cfRule type="expression" dxfId="38" priority="4">
      <formula>B12&lt;&gt;""</formula>
    </cfRule>
  </conditionalFormatting>
  <conditionalFormatting sqref="B13:I13 B15:I15 B17:I17 B19:I19 B21:I21 B23:I23 B25:I25 B27:I27 B29:I29 B31:I31">
    <cfRule type="expression" dxfId="37" priority="3">
      <formula>B12&lt;&gt;""</formula>
    </cfRule>
  </conditionalFormatting>
  <conditionalFormatting sqref="B13:I13 B15:I15 B17:I17 B19:I19 B21:I21 B23:I23 B25:I25 B27:I27 B29:I29">
    <cfRule type="expression" dxfId="36" priority="2">
      <formula>COLUMN(B13)&gt;=2</formula>
    </cfRule>
  </conditionalFormatting>
  <conditionalFormatting sqref="B12:I31">
    <cfRule type="expression" dxfId="35" priority="1">
      <formula>COLUMN(B12)&gt;2</formula>
    </cfRule>
  </conditionalFormatting>
  <dataValidations xWindow="132" yWindow="585" count="13">
    <dataValidation allowBlank="1" showInputMessage="1" showErrorMessage="1" prompt="O calendário de julho destaca automaticamente as entradas da lista de tarefas do mês. As fontes mais escuras são tarefas. As fontes mais claras são dias que pertencem ao mês anterior ou seguinte" sqref="B2" xr:uid="{00000000-0002-0000-0700-000000000000}"/>
    <dataValidation allowBlank="1" showInputMessage="1" showErrorMessage="1" prompt="O ano civil é atualizado automaticamente. Para alterar o ano, atualize a célula B1 na planilha de janeiro" sqref="B1" xr:uid="{00000000-0002-0000-07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700-000002000000}"/>
    <dataValidation allowBlank="1" showInputMessage="1" showErrorMessage="1" prompt="Se esta célula não contiver o número 1, ela será um dia de um mês anterior. As células C3:I8 contêm datas do mês atual" sqref="C3" xr:uid="{00000000-0002-0000-0700-000003000000}"/>
    <dataValidation allowBlank="1" showInputMessage="1" showErrorMessage="1" prompt="Se esta linha contiver um número menor que o número ou a linha de números anterior, ela conterá datas para o próximo mês do calendário" sqref="C8" xr:uid="{00000000-0002-0000-0700-000004000000}"/>
    <dataValidation allowBlank="1" showInputMessage="1" showErrorMessage="1" prompt="Insira o horário nesta linha entre as colunas B e I" sqref="B12" xr:uid="{00000000-0002-0000-0700-000005000000}"/>
    <dataValidation allowBlank="1" showInputMessage="1" showErrorMessage="1" prompt="Insira a aula nesta linha entre as colunas B e I" sqref="B13" xr:uid="{00000000-0002-0000-07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700-000007000000}"/>
    <dataValidation allowBlank="1" showInputMessage="1" showErrorMessage="1" prompt="Insira os detalhes da tarefa nesta coluna, que corresponde ao dia da semana na coluna J e ao dia na coluna K para o mês do calendário à esquerda" sqref="L1" xr:uid="{00000000-0002-0000-0700-000008000000}"/>
    <dataValidation allowBlank="1" showInputMessage="1" showErrorMessage="1" prompt="Insira o dia do mês da tarefa nesta coluna, que corresponde ao dia da semana na coluna J. Essa data destacará a tarefa no calendário à esquerda" sqref="K1" xr:uid="{00000000-0002-0000-0700-000009000000}"/>
    <dataValidation allowBlank="1" showInputMessage="1" showErrorMessage="1" prompt="Os dias da semana estão nesta linha, de segunda a sexta" sqref="B11" xr:uid="{00000000-0002-0000-07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700-00000B000000}"/>
    <dataValidation allowBlank="1" showInputMessage="1" showErrorMessage="1" prompt="As células C2:I2 contêm dias da semana" sqref="C2" xr:uid="{00000000-0002-0000-07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2019</v>
      </c>
      <c r="J1" s="15" t="s">
        <v>0</v>
      </c>
      <c r="K1" s="15" t="s">
        <v>23</v>
      </c>
      <c r="L1" s="8" t="s">
        <v>24</v>
      </c>
    </row>
    <row r="2" spans="1:12" ht="30" customHeight="1" x14ac:dyDescent="0.25">
      <c r="A2" s="10"/>
      <c r="B2" s="20" t="s">
        <v>35</v>
      </c>
      <c r="C2" s="5" t="s">
        <v>12</v>
      </c>
      <c r="D2" s="5" t="s">
        <v>5</v>
      </c>
      <c r="E2" s="5" t="s">
        <v>17</v>
      </c>
      <c r="F2" s="5" t="s">
        <v>18</v>
      </c>
      <c r="G2" s="5" t="s">
        <v>19</v>
      </c>
      <c r="H2" s="5" t="s">
        <v>21</v>
      </c>
      <c r="I2" s="5" t="s">
        <v>22</v>
      </c>
      <c r="J2" s="32" t="s">
        <v>5</v>
      </c>
      <c r="K2" s="33"/>
      <c r="L2" s="35"/>
    </row>
    <row r="3" spans="1:12" ht="30" customHeight="1" x14ac:dyDescent="0.25">
      <c r="A3" s="10"/>
      <c r="C3" s="4">
        <f ca="1">IF(DAY(SetDom1)=1,SetDom1-6,SetDom1+1)</f>
        <v>43709</v>
      </c>
      <c r="D3" s="4">
        <f ca="1">IF(DAY(SetDom1)=1,SetDom1-5,SetDom1+2)</f>
        <v>43710</v>
      </c>
      <c r="E3" s="4">
        <f ca="1">IF(DAY(SetDom1)=1,SetDom1-4,SetDom1+3)</f>
        <v>43711</v>
      </c>
      <c r="F3" s="4">
        <f ca="1">IF(DAY(SetDom1)=1,SetDom1-3,SetDom1+4)</f>
        <v>43712</v>
      </c>
      <c r="G3" s="4">
        <f ca="1">IF(DAY(SetDom1)=1,SetDom1-2,SetDom1+5)</f>
        <v>43713</v>
      </c>
      <c r="H3" s="4">
        <f ca="1">IF(DAY(SetDom1)=1,SetDom1-1,SetDom1+6)</f>
        <v>43714</v>
      </c>
      <c r="I3" s="4">
        <f ca="1">IF(DAY(SetDom1)=1,SetDom1,SetDom1+7)</f>
        <v>43715</v>
      </c>
      <c r="J3" s="32"/>
      <c r="K3" s="33"/>
      <c r="L3" s="35"/>
    </row>
    <row r="4" spans="1:12" ht="30" customHeight="1" x14ac:dyDescent="0.25">
      <c r="A4" s="10"/>
      <c r="C4" s="4">
        <f ca="1">IF(DAY(SetDom1)=1,SetDom1+1,SetDom1+8)</f>
        <v>43716</v>
      </c>
      <c r="D4" s="4">
        <f ca="1">IF(DAY(SetDom1)=1,SetDom1+2,SetDom1+9)</f>
        <v>43717</v>
      </c>
      <c r="E4" s="4">
        <f ca="1">IF(DAY(SetDom1)=1,SetDom1+3,SetDom1+10)</f>
        <v>43718</v>
      </c>
      <c r="F4" s="4">
        <f ca="1">IF(DAY(SetDom1)=1,SetDom1+4,SetDom1+11)</f>
        <v>43719</v>
      </c>
      <c r="G4" s="4">
        <f ca="1">IF(DAY(SetDom1)=1,SetDom1+5,SetDom1+12)</f>
        <v>43720</v>
      </c>
      <c r="H4" s="4">
        <f ca="1">IF(DAY(SetDom1)=1,SetDom1+6,SetDom1+13)</f>
        <v>43721</v>
      </c>
      <c r="I4" s="4">
        <f ca="1">IF(DAY(SetDom1)=1,SetDom1+7,SetDom1+14)</f>
        <v>43722</v>
      </c>
      <c r="J4" s="32"/>
      <c r="K4" s="33"/>
      <c r="L4" s="35"/>
    </row>
    <row r="5" spans="1:12" ht="30" customHeight="1" x14ac:dyDescent="0.25">
      <c r="A5" s="10"/>
      <c r="C5" s="4">
        <f ca="1">IF(DAY(SetDom1)=1,SetDom1+8,SetDom1+15)</f>
        <v>43723</v>
      </c>
      <c r="D5" s="4">
        <f ca="1">IF(DAY(SetDom1)=1,SetDom1+9,SetDom1+16)</f>
        <v>43724</v>
      </c>
      <c r="E5" s="4">
        <f ca="1">IF(DAY(SetDom1)=1,SetDom1+10,SetDom1+17)</f>
        <v>43725</v>
      </c>
      <c r="F5" s="4">
        <f ca="1">IF(DAY(SetDom1)=1,SetDom1+11,SetDom1+18)</f>
        <v>43726</v>
      </c>
      <c r="G5" s="4">
        <f ca="1">IF(DAY(SetDom1)=1,SetDom1+12,SetDom1+19)</f>
        <v>43727</v>
      </c>
      <c r="H5" s="4">
        <f ca="1">IF(DAY(SetDom1)=1,SetDom1+13,SetDom1+20)</f>
        <v>43728</v>
      </c>
      <c r="I5" s="4">
        <f ca="1">IF(DAY(SetDom1)=1,SetDom1+14,SetDom1+21)</f>
        <v>43729</v>
      </c>
      <c r="J5" s="32"/>
      <c r="K5" s="33"/>
      <c r="L5" s="35"/>
    </row>
    <row r="6" spans="1:12" ht="30" customHeight="1" x14ac:dyDescent="0.25">
      <c r="A6" s="10"/>
      <c r="C6" s="4">
        <f ca="1">IF(DAY(SetDom1)=1,SetDom1+15,SetDom1+22)</f>
        <v>43730</v>
      </c>
      <c r="D6" s="4">
        <f ca="1">IF(DAY(SetDom1)=1,SetDom1+16,SetDom1+23)</f>
        <v>43731</v>
      </c>
      <c r="E6" s="4">
        <f ca="1">IF(DAY(SetDom1)=1,SetDom1+17,SetDom1+24)</f>
        <v>43732</v>
      </c>
      <c r="F6" s="4">
        <f ca="1">IF(DAY(SetDom1)=1,SetDom1+18,SetDom1+25)</f>
        <v>43733</v>
      </c>
      <c r="G6" s="4">
        <f ca="1">IF(DAY(SetDom1)=1,SetDom1+19,SetDom1+26)</f>
        <v>43734</v>
      </c>
      <c r="H6" s="4">
        <f ca="1">IF(DAY(SetDom1)=1,SetDom1+20,SetDom1+27)</f>
        <v>43735</v>
      </c>
      <c r="I6" s="4">
        <f ca="1">IF(DAY(SetDom1)=1,SetDom1+21,SetDom1+28)</f>
        <v>43736</v>
      </c>
      <c r="J6" s="32"/>
      <c r="K6" s="33"/>
      <c r="L6" s="35"/>
    </row>
    <row r="7" spans="1:12" ht="30" customHeight="1" x14ac:dyDescent="0.25">
      <c r="A7" s="10"/>
      <c r="C7" s="4">
        <f ca="1">IF(DAY(SetDom1)=1,SetDom1+22,SetDom1+29)</f>
        <v>43737</v>
      </c>
      <c r="D7" s="4">
        <f ca="1">IF(DAY(SetDom1)=1,SetDom1+23,SetDom1+30)</f>
        <v>43738</v>
      </c>
      <c r="E7" s="4">
        <f ca="1">IF(DAY(SetDom1)=1,SetDom1+24,SetDom1+31)</f>
        <v>43739</v>
      </c>
      <c r="F7" s="4">
        <f ca="1">IF(DAY(SetDom1)=1,SetDom1+25,SetDom1+32)</f>
        <v>43740</v>
      </c>
      <c r="G7" s="4">
        <f ca="1">IF(DAY(SetDom1)=1,SetDom1+26,SetDom1+33)</f>
        <v>43741</v>
      </c>
      <c r="H7" s="4">
        <f ca="1">IF(DAY(SetDom1)=1,SetDom1+27,SetDom1+34)</f>
        <v>43742</v>
      </c>
      <c r="I7" s="4">
        <f ca="1">IF(DAY(SetDom1)=1,SetDom1+28,SetDom1+35)</f>
        <v>43743</v>
      </c>
      <c r="J7" s="16"/>
      <c r="K7" s="14"/>
      <c r="L7" s="36"/>
    </row>
    <row r="8" spans="1:12" ht="30" customHeight="1" x14ac:dyDescent="0.25">
      <c r="A8" s="10"/>
      <c r="B8" s="13"/>
      <c r="C8" s="4">
        <f ca="1">IF(DAY(SetDom1)=1,SetDom1+29,SetDom1+36)</f>
        <v>43744</v>
      </c>
      <c r="D8" s="4">
        <f ca="1">IF(DAY(SetDom1)=1,SetDom1+30,SetDom1+37)</f>
        <v>43745</v>
      </c>
      <c r="E8" s="4">
        <f ca="1">IF(DAY(SetDom1)=1,SetDom1+31,SetDom1+38)</f>
        <v>43746</v>
      </c>
      <c r="F8" s="4">
        <f ca="1">IF(DAY(SetDom1)=1,SetDom1+32,SetDom1+39)</f>
        <v>43747</v>
      </c>
      <c r="G8" s="4">
        <f ca="1">IF(DAY(SetDom1)=1,SetDom1+33,SetDom1+40)</f>
        <v>43748</v>
      </c>
      <c r="H8" s="4">
        <f ca="1">IF(DAY(SetDom1)=1,SetDom1+34,SetDom1+41)</f>
        <v>43749</v>
      </c>
      <c r="I8" s="4">
        <f ca="1">IF(DAY(SetDom1)=1,SetDom1+35,SetDom1+42)</f>
        <v>43750</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33" priority="6" stopIfTrue="1">
      <formula>DAY(C3)&gt;8</formula>
    </cfRule>
  </conditionalFormatting>
  <conditionalFormatting sqref="C7:I8">
    <cfRule type="expression" dxfId="32" priority="5" stopIfTrue="1">
      <formula>AND(DAY(C7)&gt;=1,DAY(C7)&lt;=15)</formula>
    </cfRule>
  </conditionalFormatting>
  <conditionalFormatting sqref="C3:I8">
    <cfRule type="expression" dxfId="31" priority="7">
      <formula>VLOOKUP(DAY(C3),DiasTarefa,1,FALSE)=DAY(C3)</formula>
    </cfRule>
  </conditionalFormatting>
  <conditionalFormatting sqref="B13:I13 B15:I15 B17:I17 B19:I19 B21:I21 B23:I23 B25:I25 B27:I27 B29:I29 B31:I31">
    <cfRule type="expression" dxfId="30" priority="4">
      <formula>B13&lt;&gt;""</formula>
    </cfRule>
  </conditionalFormatting>
  <conditionalFormatting sqref="B12:I12 B14:I14 B16:I16 B18:I18 B20:I20 B22:I22 B24:I24 B26:I26 B28:I28 B30:I30">
    <cfRule type="expression" dxfId="29" priority="3">
      <formula>B12&lt;&gt;""</formula>
    </cfRule>
  </conditionalFormatting>
  <conditionalFormatting sqref="B13:I13 B15:I15 B17:I17 B19:I19 B21:I21 B23:I23 B25:I25 B27:I27 B29:I29">
    <cfRule type="expression" dxfId="28" priority="2">
      <formula>COLUMN(B13)&gt;=2</formula>
    </cfRule>
  </conditionalFormatting>
  <conditionalFormatting sqref="B12:I31">
    <cfRule type="expression" dxfId="27" priority="1">
      <formula>COLUMN(B12)&gt;2</formula>
    </cfRule>
  </conditionalFormatting>
  <dataValidations count="13">
    <dataValidation allowBlank="1" showInputMessage="1" showErrorMessage="1" prompt="Insira a aula nesta linha entre as colunas B e I" sqref="B13" xr:uid="{00000000-0002-0000-0800-000000000000}"/>
    <dataValidation allowBlank="1" showInputMessage="1" showErrorMessage="1" prompt="Insira o horário nesta linha entre as colunas B e I" sqref="B12" xr:uid="{00000000-0002-0000-0800-000001000000}"/>
    <dataValidation allowBlank="1" showInputMessage="1" showErrorMessage="1" prompt="Se esta linha contiver um número menor que o número ou a linha de números anterior, ela conterá datas para o próximo mês do calendário" sqref="C8" xr:uid="{00000000-0002-0000-0800-000002000000}"/>
    <dataValidation allowBlank="1" showInputMessage="1" showErrorMessage="1" prompt="Se esta célula não contiver o número 1, ela será um dia de um mês anterior. As células C3:I8 contêm datas do mês atual" sqref="C3" xr:uid="{00000000-0002-0000-08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800-000004000000}"/>
    <dataValidation allowBlank="1" showInputMessage="1" showErrorMessage="1" prompt="O ano civil é atualizado automaticamente. Para alterar o ano, atualize a célula B1 na planilha de janeiro" sqref="B1" xr:uid="{00000000-0002-0000-0800-000005000000}"/>
    <dataValidation allowBlank="1" showInputMessage="1" showErrorMessage="1" prompt="O calendário de setembro destaca automaticamente as entradas da lista de tarefas do mês. As fontes mais escuras são tarefas. As fontes mais claras são dias que pertencem ao mês anterior ou seguinte" sqref="B2" xr:uid="{00000000-0002-0000-08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800-000007000000}"/>
    <dataValidation allowBlank="1" showInputMessage="1" showErrorMessage="1" prompt="Insira os detalhes da tarefa nesta coluna, que corresponde ao dia da semana na coluna J e ao dia na coluna K para o mês do calendário à esquerda" sqref="L1" xr:uid="{00000000-0002-0000-0800-000008000000}"/>
    <dataValidation allowBlank="1" showInputMessage="1" showErrorMessage="1" prompt="Insira o dia do mês da tarefa nesta coluna, que corresponde ao dia da semana na coluna J. Essa data destacará a tarefa no calendário à esquerda" sqref="K1" xr:uid="{00000000-0002-0000-0800-000009000000}"/>
    <dataValidation allowBlank="1" showInputMessage="1" showErrorMessage="1" prompt="Os dias da semana estão nesta linha, de segunda a sexta" sqref="B11" xr:uid="{00000000-0002-0000-08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800-00000B000000}"/>
    <dataValidation allowBlank="1" showInputMessage="1" showErrorMessage="1" prompt="As células C2:I2 contêm dias da semana" sqref="C2" xr:uid="{00000000-0002-0000-08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61</vt:i4>
      </vt:variant>
    </vt:vector>
  </HeadingPairs>
  <TitlesOfParts>
    <vt:vector size="73" baseType="lpstr">
      <vt:lpstr>Jan</vt:lpstr>
      <vt:lpstr>Fev</vt:lpstr>
      <vt:lpstr>Mar</vt:lpstr>
      <vt:lpstr>Abr</vt:lpstr>
      <vt:lpstr>Mai</vt:lpstr>
      <vt:lpstr>Jun</vt:lpstr>
      <vt:lpstr>Jul</vt:lpstr>
      <vt:lpstr>Ago</vt:lpstr>
      <vt:lpstr>Set</vt:lpstr>
      <vt:lpstr>Out</vt:lpstr>
      <vt:lpstr>Nov</vt:lpstr>
      <vt:lpstr>Dez</vt:lpstr>
      <vt:lpstr>AnoCivil</vt:lpstr>
      <vt:lpstr>Abr!DiasTarefa</vt:lpstr>
      <vt:lpstr>Ago!DiasTarefa</vt:lpstr>
      <vt:lpstr>Dez!DiasTarefa</vt:lpstr>
      <vt:lpstr>Fev!DiasTarefa</vt:lpstr>
      <vt:lpstr>Jul!DiasTarefa</vt:lpstr>
      <vt:lpstr>Jun!DiasTarefa</vt:lpstr>
      <vt:lpstr>Mai!DiasTarefa</vt:lpstr>
      <vt:lpstr>Mar!DiasTarefa</vt:lpstr>
      <vt:lpstr>Nov!DiasTarefa</vt:lpstr>
      <vt:lpstr>Out!DiasTarefa</vt:lpstr>
      <vt:lpstr>Set!DiasTarefa</vt:lpstr>
      <vt:lpstr>DiasTarefa</vt:lpstr>
      <vt:lpstr>RegiãoTítulo2..I31.1</vt:lpstr>
      <vt:lpstr>RegiãoTítulo2..I31.10</vt:lpstr>
      <vt:lpstr>RegiãoTítulo2..I31.11</vt:lpstr>
      <vt:lpstr>RegiãoTítulo2..I31.12</vt:lpstr>
      <vt:lpstr>RegiãoTítulo2..I31.2</vt:lpstr>
      <vt:lpstr>RegiãoTítulo2..I31.3</vt:lpstr>
      <vt:lpstr>RegiãoTítulo2..I31.4</vt:lpstr>
      <vt:lpstr>RegiãoTítulo2..I31.5</vt:lpstr>
      <vt:lpstr>RegiãoTítulo2..I31.6</vt:lpstr>
      <vt:lpstr>RegiãoTítulo2..I31.7</vt:lpstr>
      <vt:lpstr>RegiãoTítulo2..I31.8</vt:lpstr>
      <vt:lpstr>RegiãoTítulo2..I31.9</vt:lpstr>
      <vt:lpstr>RegiãoTìtuloColuna1..I8.1</vt:lpstr>
      <vt:lpstr>RegiãoTìtuloColuna1..I8.10</vt:lpstr>
      <vt:lpstr>RegiãoTìtuloColuna1..I8.11</vt:lpstr>
      <vt:lpstr>RegiãoTìtuloColuna1..I8.12</vt:lpstr>
      <vt:lpstr>RegiãoTìtuloColuna1..I8.2</vt:lpstr>
      <vt:lpstr>RegiãoTìtuloColuna1..I8.3</vt:lpstr>
      <vt:lpstr>RegiãoTìtuloColuna1..I8.4</vt:lpstr>
      <vt:lpstr>RegiãoTìtuloColuna1..I8.5</vt:lpstr>
      <vt:lpstr>RegiãoTìtuloColuna1..I8.6</vt:lpstr>
      <vt:lpstr>RegiãoTìtuloColuna1..I8.7</vt:lpstr>
      <vt:lpstr>RegiãoTìtuloColuna1..I8.8</vt:lpstr>
      <vt:lpstr>RegiãoTìtuloColuna1..I8.9</vt:lpstr>
      <vt:lpstr>Abr!TabelaDatasImportantes</vt:lpstr>
      <vt:lpstr>Ago!TabelaDatasImportantes</vt:lpstr>
      <vt:lpstr>Dez!TabelaDatasImportantes</vt:lpstr>
      <vt:lpstr>Fev!TabelaDatasImportantes</vt:lpstr>
      <vt:lpstr>Jul!TabelaDatasImportantes</vt:lpstr>
      <vt:lpstr>Jun!TabelaDatasImportantes</vt:lpstr>
      <vt:lpstr>Mai!TabelaDatasImportantes</vt:lpstr>
      <vt:lpstr>Mar!TabelaDatasImportantes</vt:lpstr>
      <vt:lpstr>Nov!TabelaDatasImportantes</vt:lpstr>
      <vt:lpstr>Out!TabelaDatasImportantes</vt:lpstr>
      <vt:lpstr>Set!TabelaDatasImportantes</vt:lpstr>
      <vt:lpstr>TabelaDatasImportantes</vt:lpstr>
      <vt:lpstr>TítuloColuna1</vt:lpstr>
      <vt:lpstr>TítuloColuna10</vt:lpstr>
      <vt:lpstr>TítuloColuna11</vt:lpstr>
      <vt:lpstr>TítuloColuna12</vt:lpstr>
      <vt:lpstr>TítuloColuna2</vt:lpstr>
      <vt:lpstr>TítuloColuna3</vt:lpstr>
      <vt:lpstr>TítuloColuna4</vt:lpstr>
      <vt:lpstr>TítuloColuna5</vt:lpstr>
      <vt:lpstr>TítuloColuna6</vt:lpstr>
      <vt:lpstr>TítuloColuna7</vt:lpstr>
      <vt:lpstr>TítuloColuna8</vt:lpstr>
      <vt:lpstr>TítuloColuna9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Domingues Filho - VOT</dc:creator>
  <cp:lastModifiedBy>Luiz Domingues Filho - VOT</cp:lastModifiedBy>
  <dcterms:created xsi:type="dcterms:W3CDTF">2016-12-22T23:12:27Z</dcterms:created>
  <dcterms:modified xsi:type="dcterms:W3CDTF">2019-08-12T19:18:02Z</dcterms:modified>
</cp:coreProperties>
</file>