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drawings/drawing2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drawings/drawing3.xml" ContentType="application/vnd.openxmlformats-officedocument.drawing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drawings/drawing4.xml" ContentType="application/vnd.openxmlformats-officedocument.drawing+xml"/>
  <Override PartName="/xl/tables/table16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026"/>
  <workbookPr filterPrivacy="1" codeName="ThisWorkbook"/>
  <xr:revisionPtr revIDLastSave="0" documentId="8_{BD7FFD68-ABF9-4D5D-9B21-D4CB30CD4819}" xr6:coauthVersionLast="45" xr6:coauthVersionMax="45" xr10:uidLastSave="{00000000-0000-0000-0000-000000000000}"/>
  <bookViews>
    <workbookView xWindow="-120" yWindow="-120" windowWidth="20730" windowHeight="11310" tabRatio="756" activeTab="1" xr2:uid="{00000000-000D-0000-FFFF-FFFF00000000}"/>
  </bookViews>
  <sheets>
    <sheet name="INÍCIO" sheetId="6" r:id="rId1"/>
    <sheet name="DESPESAS PLANEJADAS" sheetId="2" r:id="rId2"/>
    <sheet name="DESPESAS REAIS" sheetId="3" r:id="rId3"/>
    <sheet name="VARIAÇÕES DE DESPESAS" sheetId="4" r:id="rId4"/>
    <sheet name="ANÁLISE DE DESPESAS" sheetId="5" r:id="rId5"/>
  </sheets>
  <definedNames>
    <definedName name="título_da_planilha">'DESPESAS PLANEJADAS'!$K$2</definedName>
    <definedName name="_xlnm.Print_Titles" localSheetId="1">'DESPESAS PLANEJADAS'!$1:$13</definedName>
    <definedName name="_xlnm.Print_Titles" localSheetId="2">'DESPESAS REAIS'!$1:$4</definedName>
    <definedName name="_xlnm.Print_Titles" localSheetId="3">'VARIAÇÕES DE DESPESAS'!$1:$4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2" i="2" l="1"/>
  <c r="O23" i="2"/>
  <c r="O24" i="2"/>
  <c r="O25" i="2"/>
  <c r="O26" i="2"/>
  <c r="O27" i="2"/>
  <c r="O11" i="3"/>
  <c r="O12" i="3"/>
  <c r="O13" i="3"/>
  <c r="O14" i="3"/>
  <c r="O15" i="3"/>
  <c r="O16" i="3"/>
  <c r="O17" i="3"/>
  <c r="O18" i="3"/>
  <c r="I6" i="4"/>
  <c r="I7" i="2"/>
  <c r="I8" i="2" s="1"/>
  <c r="I7" i="3"/>
  <c r="I7" i="4"/>
  <c r="O6" i="2"/>
  <c r="C7" i="2"/>
  <c r="C8" i="2" s="1"/>
  <c r="C33" i="2"/>
  <c r="C28" i="2"/>
  <c r="C19" i="2"/>
  <c r="D7" i="2"/>
  <c r="E7" i="2"/>
  <c r="F7" i="2"/>
  <c r="G7" i="2"/>
  <c r="G8" i="2" s="1"/>
  <c r="H7" i="2"/>
  <c r="H8" i="2" s="1"/>
  <c r="J7" i="2"/>
  <c r="J8" i="2" s="1"/>
  <c r="K7" i="2"/>
  <c r="K8" i="2" s="1"/>
  <c r="L7" i="2"/>
  <c r="L8" i="2" s="1"/>
  <c r="M7" i="2"/>
  <c r="N7" i="2"/>
  <c r="F8" i="2"/>
  <c r="F33" i="2"/>
  <c r="F28" i="2"/>
  <c r="F19" i="2"/>
  <c r="G33" i="2"/>
  <c r="G28" i="2"/>
  <c r="G19" i="2"/>
  <c r="K33" i="2"/>
  <c r="K28" i="2"/>
  <c r="K19" i="2"/>
  <c r="M8" i="2"/>
  <c r="N8" i="2"/>
  <c r="N33" i="2"/>
  <c r="N28" i="2"/>
  <c r="N19" i="2"/>
  <c r="J7" i="3"/>
  <c r="J7" i="4" s="1"/>
  <c r="K7" i="3"/>
  <c r="K8" i="3" s="1"/>
  <c r="K33" i="3"/>
  <c r="K28" i="3"/>
  <c r="K19" i="3"/>
  <c r="L7" i="3"/>
  <c r="L8" i="3" s="1"/>
  <c r="M7" i="3"/>
  <c r="N7" i="3"/>
  <c r="N8" i="3" s="1"/>
  <c r="C32" i="4"/>
  <c r="D32" i="4"/>
  <c r="E32" i="4"/>
  <c r="F32" i="4"/>
  <c r="G32" i="4"/>
  <c r="H32" i="4"/>
  <c r="I32" i="4"/>
  <c r="J32" i="4"/>
  <c r="K32" i="4"/>
  <c r="L32" i="4"/>
  <c r="M32" i="4"/>
  <c r="N32" i="4"/>
  <c r="G31" i="4"/>
  <c r="G33" i="4" s="1"/>
  <c r="D31" i="4"/>
  <c r="D33" i="4" s="1"/>
  <c r="E31" i="4"/>
  <c r="E33" i="4" s="1"/>
  <c r="F31" i="4"/>
  <c r="F33" i="4" s="1"/>
  <c r="H31" i="4"/>
  <c r="I31" i="4"/>
  <c r="J31" i="4"/>
  <c r="K31" i="4"/>
  <c r="L31" i="4"/>
  <c r="M31" i="4"/>
  <c r="N31" i="4"/>
  <c r="C31" i="4"/>
  <c r="C23" i="4"/>
  <c r="D23" i="4"/>
  <c r="E23" i="4"/>
  <c r="F23" i="4"/>
  <c r="G23" i="4"/>
  <c r="H23" i="4"/>
  <c r="I23" i="4"/>
  <c r="J23" i="4"/>
  <c r="K23" i="4"/>
  <c r="L23" i="4"/>
  <c r="M23" i="4"/>
  <c r="N23" i="4"/>
  <c r="C24" i="4"/>
  <c r="C22" i="4"/>
  <c r="C25" i="4"/>
  <c r="C26" i="4"/>
  <c r="C27" i="4"/>
  <c r="D24" i="4"/>
  <c r="E24" i="4"/>
  <c r="F24" i="4"/>
  <c r="G24" i="4"/>
  <c r="H24" i="4"/>
  <c r="I24" i="4"/>
  <c r="J24" i="4"/>
  <c r="K24" i="4"/>
  <c r="L24" i="4"/>
  <c r="M24" i="4"/>
  <c r="N24" i="4"/>
  <c r="D25" i="4"/>
  <c r="E25" i="4"/>
  <c r="F25" i="4"/>
  <c r="G25" i="4"/>
  <c r="H25" i="4"/>
  <c r="I25" i="4"/>
  <c r="J25" i="4"/>
  <c r="K25" i="4"/>
  <c r="L25" i="4"/>
  <c r="M25" i="4"/>
  <c r="N25" i="4"/>
  <c r="D26" i="4"/>
  <c r="E26" i="4"/>
  <c r="F26" i="4"/>
  <c r="G26" i="4"/>
  <c r="H26" i="4"/>
  <c r="I26" i="4"/>
  <c r="J26" i="4"/>
  <c r="K26" i="4"/>
  <c r="L26" i="4"/>
  <c r="M26" i="4"/>
  <c r="N26" i="4"/>
  <c r="D27" i="4"/>
  <c r="E27" i="4"/>
  <c r="F27" i="4"/>
  <c r="G27" i="4"/>
  <c r="H27" i="4"/>
  <c r="I27" i="4"/>
  <c r="J27" i="4"/>
  <c r="K27" i="4"/>
  <c r="L27" i="4"/>
  <c r="M27" i="4"/>
  <c r="N27" i="4"/>
  <c r="D22" i="4"/>
  <c r="E22" i="4"/>
  <c r="F22" i="4"/>
  <c r="G22" i="4"/>
  <c r="H22" i="4"/>
  <c r="I22" i="4"/>
  <c r="J22" i="4"/>
  <c r="K22" i="4"/>
  <c r="L22" i="4"/>
  <c r="M22" i="4"/>
  <c r="N22" i="4"/>
  <c r="D6" i="4"/>
  <c r="E6" i="4"/>
  <c r="F6" i="4"/>
  <c r="G6" i="4"/>
  <c r="H6" i="4"/>
  <c r="H7" i="3"/>
  <c r="J6" i="4"/>
  <c r="K6" i="4"/>
  <c r="L6" i="4"/>
  <c r="M6" i="4"/>
  <c r="N6" i="4"/>
  <c r="C6" i="4"/>
  <c r="C12" i="4"/>
  <c r="D12" i="4"/>
  <c r="E12" i="4"/>
  <c r="F12" i="4"/>
  <c r="G12" i="4"/>
  <c r="H12" i="4"/>
  <c r="I12" i="4"/>
  <c r="J12" i="4"/>
  <c r="J11" i="4"/>
  <c r="J13" i="4"/>
  <c r="J14" i="4"/>
  <c r="J15" i="4"/>
  <c r="J16" i="4"/>
  <c r="J17" i="4"/>
  <c r="J18" i="4"/>
  <c r="K12" i="4"/>
  <c r="L12" i="4"/>
  <c r="M12" i="4"/>
  <c r="N12" i="4"/>
  <c r="C13" i="4"/>
  <c r="D13" i="4"/>
  <c r="E13" i="4"/>
  <c r="F13" i="4"/>
  <c r="G13" i="4"/>
  <c r="H13" i="4"/>
  <c r="I13" i="4"/>
  <c r="K13" i="4"/>
  <c r="L13" i="4"/>
  <c r="M13" i="4"/>
  <c r="N13" i="4"/>
  <c r="C14" i="4"/>
  <c r="D14" i="4"/>
  <c r="E14" i="4"/>
  <c r="F14" i="4"/>
  <c r="G14" i="4"/>
  <c r="H14" i="4"/>
  <c r="I14" i="4"/>
  <c r="K14" i="4"/>
  <c r="L14" i="4"/>
  <c r="M14" i="4"/>
  <c r="N14" i="4"/>
  <c r="C15" i="4"/>
  <c r="D15" i="4"/>
  <c r="E15" i="4"/>
  <c r="F15" i="4"/>
  <c r="G15" i="4"/>
  <c r="H15" i="4"/>
  <c r="I15" i="4"/>
  <c r="K15" i="4"/>
  <c r="L15" i="4"/>
  <c r="M15" i="4"/>
  <c r="N15" i="4"/>
  <c r="C16" i="4"/>
  <c r="D16" i="4"/>
  <c r="E16" i="4"/>
  <c r="F16" i="4"/>
  <c r="G16" i="4"/>
  <c r="H16" i="4"/>
  <c r="I16" i="4"/>
  <c r="K16" i="4"/>
  <c r="L16" i="4"/>
  <c r="M16" i="4"/>
  <c r="N16" i="4"/>
  <c r="C17" i="4"/>
  <c r="D17" i="4"/>
  <c r="E17" i="4"/>
  <c r="F17" i="4"/>
  <c r="G17" i="4"/>
  <c r="H17" i="4"/>
  <c r="I17" i="4"/>
  <c r="K17" i="4"/>
  <c r="L17" i="4"/>
  <c r="M17" i="4"/>
  <c r="N17" i="4"/>
  <c r="C18" i="4"/>
  <c r="D18" i="4"/>
  <c r="E18" i="4"/>
  <c r="F18" i="4"/>
  <c r="G18" i="4"/>
  <c r="H18" i="4"/>
  <c r="I18" i="4"/>
  <c r="K18" i="4"/>
  <c r="L18" i="4"/>
  <c r="M18" i="4"/>
  <c r="N18" i="4"/>
  <c r="D11" i="4"/>
  <c r="E11" i="4"/>
  <c r="F11" i="4"/>
  <c r="G11" i="4"/>
  <c r="H11" i="4"/>
  <c r="I11" i="4"/>
  <c r="K11" i="4"/>
  <c r="L11" i="4"/>
  <c r="M11" i="4"/>
  <c r="N11" i="4"/>
  <c r="C11" i="4"/>
  <c r="D19" i="3"/>
  <c r="E19" i="3"/>
  <c r="F19" i="3"/>
  <c r="G19" i="3"/>
  <c r="H19" i="3"/>
  <c r="I19" i="3"/>
  <c r="J19" i="3"/>
  <c r="L19" i="3"/>
  <c r="L33" i="3"/>
  <c r="L28" i="3"/>
  <c r="M19" i="3"/>
  <c r="M33" i="3"/>
  <c r="M28" i="3"/>
  <c r="M8" i="3"/>
  <c r="N19" i="3"/>
  <c r="D28" i="3"/>
  <c r="E28" i="3"/>
  <c r="F28" i="3"/>
  <c r="G28" i="3"/>
  <c r="H28" i="3"/>
  <c r="I28" i="3"/>
  <c r="I33" i="3"/>
  <c r="I8" i="3"/>
  <c r="J28" i="3"/>
  <c r="J33" i="3"/>
  <c r="J8" i="3"/>
  <c r="N28" i="3"/>
  <c r="D33" i="3"/>
  <c r="E33" i="3"/>
  <c r="F33" i="3"/>
  <c r="F7" i="3"/>
  <c r="F8" i="3" s="1"/>
  <c r="G33" i="3"/>
  <c r="G7" i="3"/>
  <c r="G8" i="3" s="1"/>
  <c r="H33" i="3"/>
  <c r="H8" i="3"/>
  <c r="N33" i="3"/>
  <c r="C33" i="3"/>
  <c r="C28" i="3"/>
  <c r="C19" i="3"/>
  <c r="C7" i="3"/>
  <c r="D33" i="2"/>
  <c r="E33" i="2"/>
  <c r="H33" i="2"/>
  <c r="H28" i="2"/>
  <c r="H19" i="2"/>
  <c r="I33" i="2"/>
  <c r="I28" i="2"/>
  <c r="I19" i="2"/>
  <c r="J33" i="2"/>
  <c r="L33" i="2"/>
  <c r="M33" i="2"/>
  <c r="D28" i="2"/>
  <c r="D19" i="2"/>
  <c r="E28" i="2"/>
  <c r="J28" i="2"/>
  <c r="L28" i="2"/>
  <c r="L19" i="2"/>
  <c r="M28" i="2"/>
  <c r="M19" i="2"/>
  <c r="E19" i="2"/>
  <c r="J19" i="2"/>
  <c r="B9" i="5"/>
  <c r="B8" i="5"/>
  <c r="B7" i="5"/>
  <c r="B6" i="5"/>
  <c r="M7" i="4"/>
  <c r="O32" i="3"/>
  <c r="O31" i="3"/>
  <c r="O27" i="3"/>
  <c r="O26" i="3"/>
  <c r="O25" i="3"/>
  <c r="O24" i="3"/>
  <c r="O23" i="3"/>
  <c r="O22" i="3"/>
  <c r="E7" i="3"/>
  <c r="E8" i="3" s="1"/>
  <c r="D7" i="3"/>
  <c r="D8" i="3" s="1"/>
  <c r="O6" i="3"/>
  <c r="O32" i="2"/>
  <c r="O31" i="2"/>
  <c r="O18" i="2"/>
  <c r="O17" i="2"/>
  <c r="O16" i="2"/>
  <c r="O15" i="2"/>
  <c r="O14" i="2"/>
  <c r="O13" i="2"/>
  <c r="O12" i="2"/>
  <c r="O11" i="2"/>
  <c r="L7" i="4"/>
  <c r="L8" i="4" s="1"/>
  <c r="E7" i="4"/>
  <c r="E8" i="2"/>
  <c r="E8" i="4" l="1"/>
  <c r="M33" i="4"/>
  <c r="I8" i="4"/>
  <c r="D28" i="4"/>
  <c r="J33" i="4"/>
  <c r="G7" i="4"/>
  <c r="G8" i="4" s="1"/>
  <c r="O33" i="3"/>
  <c r="D8" i="5" s="1"/>
  <c r="E8" i="5" s="1"/>
  <c r="F8" i="5" s="1"/>
  <c r="G19" i="4"/>
  <c r="O13" i="4"/>
  <c r="O19" i="3"/>
  <c r="D6" i="5" s="1"/>
  <c r="M8" i="4"/>
  <c r="N36" i="3"/>
  <c r="H36" i="3"/>
  <c r="D36" i="3"/>
  <c r="J28" i="4"/>
  <c r="H28" i="4"/>
  <c r="M36" i="2"/>
  <c r="O33" i="2"/>
  <c r="C8" i="5" s="1"/>
  <c r="N19" i="4"/>
  <c r="K28" i="4"/>
  <c r="O19" i="2"/>
  <c r="C6" i="5" s="1"/>
  <c r="E36" i="2"/>
  <c r="C7" i="4"/>
  <c r="C8" i="4" s="1"/>
  <c r="E19" i="4"/>
  <c r="O18" i="4"/>
  <c r="O6" i="4"/>
  <c r="N28" i="4"/>
  <c r="L33" i="4"/>
  <c r="H33" i="4"/>
  <c r="K33" i="4"/>
  <c r="I33" i="4"/>
  <c r="J8" i="4"/>
  <c r="K36" i="2"/>
  <c r="C36" i="2"/>
  <c r="C37" i="2" s="1"/>
  <c r="L36" i="2"/>
  <c r="H36" i="2"/>
  <c r="J36" i="3"/>
  <c r="M36" i="3"/>
  <c r="O17" i="4"/>
  <c r="O16" i="4"/>
  <c r="K19" i="4"/>
  <c r="O15" i="4"/>
  <c r="O14" i="4"/>
  <c r="M19" i="4"/>
  <c r="O22" i="4"/>
  <c r="O26" i="4"/>
  <c r="O25" i="4"/>
  <c r="C28" i="4"/>
  <c r="O7" i="2"/>
  <c r="O8" i="2" s="1"/>
  <c r="C5" i="5" s="1"/>
  <c r="D7" i="4"/>
  <c r="D8" i="4" s="1"/>
  <c r="O28" i="3"/>
  <c r="D7" i="5" s="1"/>
  <c r="F28" i="4"/>
  <c r="I36" i="2"/>
  <c r="G36" i="3"/>
  <c r="F36" i="3"/>
  <c r="E36" i="3"/>
  <c r="I36" i="3"/>
  <c r="L36" i="3"/>
  <c r="L19" i="4"/>
  <c r="I19" i="4"/>
  <c r="I36" i="4" s="1"/>
  <c r="F19" i="4"/>
  <c r="D19" i="4"/>
  <c r="J19" i="4"/>
  <c r="H19" i="4"/>
  <c r="O12" i="4"/>
  <c r="H7" i="4"/>
  <c r="H8" i="4" s="1"/>
  <c r="G28" i="4"/>
  <c r="O27" i="4"/>
  <c r="M28" i="4"/>
  <c r="I28" i="4"/>
  <c r="E28" i="4"/>
  <c r="L28" i="4"/>
  <c r="O24" i="4"/>
  <c r="O23" i="4"/>
  <c r="O31" i="4"/>
  <c r="N33" i="4"/>
  <c r="O32" i="4"/>
  <c r="N36" i="2"/>
  <c r="G36" i="2"/>
  <c r="F36" i="2"/>
  <c r="O28" i="2"/>
  <c r="C7" i="5" s="1"/>
  <c r="O36" i="2"/>
  <c r="J36" i="2"/>
  <c r="E6" i="5"/>
  <c r="F6" i="5" s="1"/>
  <c r="K36" i="3"/>
  <c r="O7" i="3"/>
  <c r="O8" i="3" s="1"/>
  <c r="D5" i="5" s="1"/>
  <c r="E5" i="5" s="1"/>
  <c r="F5" i="5" s="1"/>
  <c r="O11" i="4"/>
  <c r="F7" i="4"/>
  <c r="F8" i="4" s="1"/>
  <c r="N7" i="4"/>
  <c r="N8" i="4" s="1"/>
  <c r="C33" i="4"/>
  <c r="C8" i="3"/>
  <c r="C36" i="3" s="1"/>
  <c r="D8" i="2"/>
  <c r="D36" i="2" s="1"/>
  <c r="K37" i="2" s="1"/>
  <c r="C19" i="4"/>
  <c r="K7" i="4"/>
  <c r="K8" i="4" s="1"/>
  <c r="E36" i="4" l="1"/>
  <c r="O28" i="4"/>
  <c r="M36" i="4"/>
  <c r="J36" i="4"/>
  <c r="F36" i="4"/>
  <c r="D36" i="4"/>
  <c r="O33" i="4"/>
  <c r="G36" i="4"/>
  <c r="L36" i="4"/>
  <c r="K36" i="4"/>
  <c r="E7" i="5"/>
  <c r="F7" i="5" s="1"/>
  <c r="M37" i="2"/>
  <c r="E37" i="2"/>
  <c r="N36" i="4"/>
  <c r="O19" i="4"/>
  <c r="H36" i="4"/>
  <c r="C9" i="5"/>
  <c r="L37" i="2"/>
  <c r="C37" i="3"/>
  <c r="L37" i="3"/>
  <c r="N37" i="3"/>
  <c r="D37" i="3"/>
  <c r="M37" i="3"/>
  <c r="H37" i="3"/>
  <c r="I37" i="3"/>
  <c r="G37" i="3"/>
  <c r="E37" i="3"/>
  <c r="J37" i="3"/>
  <c r="F37" i="3"/>
  <c r="K37" i="3"/>
  <c r="O36" i="3"/>
  <c r="O7" i="4"/>
  <c r="O8" i="4" s="1"/>
  <c r="C36" i="4"/>
  <c r="D37" i="2"/>
  <c r="I37" i="2"/>
  <c r="G37" i="2"/>
  <c r="H37" i="2"/>
  <c r="F37" i="2"/>
  <c r="J37" i="2"/>
  <c r="N37" i="2"/>
  <c r="D9" i="5" l="1"/>
  <c r="E9" i="5" s="1"/>
  <c r="F9" i="5" s="1"/>
  <c r="O36" i="4"/>
  <c r="K37" i="4"/>
  <c r="N37" i="4"/>
  <c r="J37" i="4"/>
  <c r="E37" i="4"/>
  <c r="H37" i="4"/>
  <c r="D37" i="4"/>
  <c r="C37" i="4"/>
  <c r="L37" i="4"/>
  <c r="G37" i="4"/>
  <c r="F37" i="4"/>
  <c r="I37" i="4"/>
  <c r="M37" i="4"/>
</calcChain>
</file>

<file path=xl/sharedStrings.xml><?xml version="1.0" encoding="utf-8"?>
<sst xmlns="http://schemas.openxmlformats.org/spreadsheetml/2006/main" count="336" uniqueCount="70">
  <si>
    <t>SOBRE ESTE MODELO</t>
  </si>
  <si>
    <t>Use esta pasta de trabalho de Orçamento de Despesas de Negócios para acompanhar as Despesas Planejadas e Reais e as Variações.</t>
  </si>
  <si>
    <t>- Preencha o nome da empresa e adicione o logotipo.</t>
  </si>
  <si>
    <t>- Insira os detalhes na planilha de despesas planejadas e na planilha de despesas reais, nas tabelas.</t>
  </si>
  <si>
    <t>- As tabelas são atualizadas automaticamente na planilha de Variações de Despesas, bem como os gráficos na planilha de Análise de Despesas.</t>
  </si>
  <si>
    <t>Para saber mais sobre tabelas, pressione SHIFT e F10 em uma tabela, selecione a opção TABELA e, em seguida, selecione TEXTO ALTERNATIVO</t>
  </si>
  <si>
    <t>DESPESAS PLANEJADAS</t>
  </si>
  <si>
    <t>CUSTOS COM FUNCIONÁRIOS</t>
  </si>
  <si>
    <t>Salários</t>
  </si>
  <si>
    <t>Benefícios</t>
  </si>
  <si>
    <t>Subtotal</t>
  </si>
  <si>
    <t>CUSTOS DO ESCRITÓRIO</t>
  </si>
  <si>
    <t>Aluguel do escritório</t>
  </si>
  <si>
    <t>Gás</t>
  </si>
  <si>
    <t>Eletricidade</t>
  </si>
  <si>
    <t>Água</t>
  </si>
  <si>
    <t>Telefone</t>
  </si>
  <si>
    <t>Acesso à Internet</t>
  </si>
  <si>
    <t>Material de escritório</t>
  </si>
  <si>
    <t>Segurança</t>
  </si>
  <si>
    <t>CUSTOS DE MARKETING</t>
  </si>
  <si>
    <t>Hospedagem de site</t>
  </si>
  <si>
    <t>Atualizações do site</t>
  </si>
  <si>
    <t>Preparação de materiais de referência</t>
  </si>
  <si>
    <t>Impressão de materiais de referência</t>
  </si>
  <si>
    <t>Eventos de marketing</t>
  </si>
  <si>
    <t>Despesas diversas</t>
  </si>
  <si>
    <t>TREINAMENTO/VIAGEM</t>
  </si>
  <si>
    <t>Sessões de treinamento</t>
  </si>
  <si>
    <t>Custos com viagens para treinamento</t>
  </si>
  <si>
    <t>TOTAL DE DESPESAS PLANEJADAS</t>
  </si>
  <si>
    <t>Despesas mensais planejadas</t>
  </si>
  <si>
    <t>TOTAL Despesas planejadas</t>
  </si>
  <si>
    <t>JAN</t>
  </si>
  <si>
    <t>Jan</t>
  </si>
  <si>
    <t>FEV</t>
  </si>
  <si>
    <t>Fev</t>
  </si>
  <si>
    <t>MAR</t>
  </si>
  <si>
    <t>Mar</t>
  </si>
  <si>
    <t>ABR</t>
  </si>
  <si>
    <t>Abr</t>
  </si>
  <si>
    <t>MAI</t>
  </si>
  <si>
    <t>Mai</t>
  </si>
  <si>
    <t>JUN</t>
  </si>
  <si>
    <t>Jun</t>
  </si>
  <si>
    <t>JUL</t>
  </si>
  <si>
    <t>Jul</t>
  </si>
  <si>
    <t>AGO</t>
  </si>
  <si>
    <t>Ago</t>
  </si>
  <si>
    <t>SET</t>
  </si>
  <si>
    <t>Set</t>
  </si>
  <si>
    <t>OUT</t>
  </si>
  <si>
    <t>Out</t>
  </si>
  <si>
    <t>NOV</t>
  </si>
  <si>
    <t>Nov</t>
  </si>
  <si>
    <t>DEZ</t>
  </si>
  <si>
    <t>Dez</t>
  </si>
  <si>
    <t>ANO</t>
  </si>
  <si>
    <t>Ano</t>
  </si>
  <si>
    <t>DESPESAS REAIS</t>
  </si>
  <si>
    <t>CUSTOS DE TREINAMENTO</t>
  </si>
  <si>
    <t>DESPESAS REAIS TOTAIS</t>
  </si>
  <si>
    <t>Despesas mensais reais</t>
  </si>
  <si>
    <t>TOTAL Despesas reais</t>
  </si>
  <si>
    <t>VARIAÇÕES DE DESPESAS</t>
  </si>
  <si>
    <t>TOTAIS</t>
  </si>
  <si>
    <t>Variações Mensais de Despesas</t>
  </si>
  <si>
    <t>Variações TOTAIS de Despesas</t>
  </si>
  <si>
    <t>CATEGORIA DE DESPESAS</t>
  </si>
  <si>
    <t>PORCENTAGEM DE VARIAÇÃO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</si>
</sst>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8" formatCode="&quot;R$&quot;\ #,##0.00;[Red]\-&quot;R$&quot;\ #,##0.00"/>
    <numFmt numFmtId="42" formatCode="_-&quot;R$&quot;\ * #,##0_-;\-&quot;R$&quot;\ * #,##0_-;_-&quot;R$&quot;\ * &quot;-&quot;_-;_-@_-"/>
    <numFmt numFmtId="44" formatCode="_-&quot;R$&quot;\ * #,##0.00_-;\-&quot;R$&quot;\ * #,##0.00_-;_-&quot;R$&quot;\ * &quot;-&quot;??_-;_-@_-"/>
    <numFmt numFmtId="164" formatCode="_(* #,##0_);_(* \(#,##0\);_(* &quot;-&quot;_);_(@_)"/>
    <numFmt numFmtId="165" formatCode="_(* #,##0.00_);_(* \(#,##0.00\);_(* &quot;-&quot;??_);_(@_)"/>
  </numFmts>
  <fonts count="40" x14ac:knownFonts="1">
    <font>
      <sz val="10"/>
      <color theme="1" tint="0.2499465926084170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sz val="14"/>
      <color theme="1"/>
      <name val="Gill Sans MT"/>
      <family val="2"/>
      <scheme val="minor"/>
    </font>
    <font>
      <sz val="10"/>
      <color theme="1"/>
      <name val="Gill Sans MT"/>
      <family val="2"/>
      <scheme val="minor"/>
    </font>
    <font>
      <b/>
      <sz val="10"/>
      <color theme="1"/>
      <name val="Gill Sans MT"/>
      <family val="2"/>
      <scheme val="minor"/>
    </font>
    <font>
      <i/>
      <sz val="11"/>
      <color theme="3" tint="0.79998168889431442"/>
      <name val="Gill Sans MT"/>
      <family val="2"/>
      <scheme val="minor"/>
    </font>
    <font>
      <sz val="14"/>
      <color theme="3"/>
      <name val="Gill Sans MT"/>
      <family val="2"/>
      <scheme val="minor"/>
    </font>
    <font>
      <sz val="10"/>
      <color theme="5" tint="0.79998168889431442"/>
      <name val="Gill Sans MT"/>
      <family val="2"/>
      <scheme val="minor"/>
    </font>
    <font>
      <sz val="14"/>
      <color theme="3" tint="-0.249977111117893"/>
      <name val="Gill Sans MT"/>
      <family val="2"/>
      <scheme val="minor"/>
    </font>
    <font>
      <sz val="14"/>
      <color theme="6" tint="0.39997558519241921"/>
      <name val="Gill Sans MT"/>
      <family val="2"/>
      <scheme val="minor"/>
    </font>
    <font>
      <sz val="11"/>
      <color theme="6" tint="0.39997558519241921"/>
      <name val="Calibri"/>
      <family val="2"/>
    </font>
    <font>
      <sz val="14"/>
      <color theme="0"/>
      <name val="Gill Sans MT"/>
      <family val="2"/>
      <scheme val="minor"/>
    </font>
    <font>
      <sz val="14"/>
      <color rgb="FF262626"/>
      <name val="Gill Sans MT"/>
      <family val="2"/>
      <scheme val="minor"/>
    </font>
    <font>
      <sz val="10"/>
      <color theme="1"/>
      <name val="Gill Sans MT"/>
      <family val="2"/>
    </font>
    <font>
      <u/>
      <sz val="9"/>
      <color theme="10"/>
      <name val="Gill Sans MT"/>
      <family val="2"/>
      <scheme val="minor"/>
    </font>
    <font>
      <u/>
      <sz val="9"/>
      <color theme="11"/>
      <name val="Gill Sans MT"/>
      <family val="2"/>
      <scheme val="minor"/>
    </font>
    <font>
      <sz val="11"/>
      <color theme="1" tint="0.249977111117893"/>
      <name val="Gill Sans MT"/>
      <family val="2"/>
      <scheme val="minor"/>
    </font>
    <font>
      <sz val="10"/>
      <color theme="1" tint="0.249977111117893"/>
      <name val="Gill Sans MT"/>
      <family val="2"/>
      <scheme val="minor"/>
    </font>
    <font>
      <sz val="11"/>
      <color theme="6" tint="0.39997558519241921"/>
      <name val="Gill Sans MT"/>
      <family val="2"/>
      <scheme val="minor"/>
    </font>
    <font>
      <b/>
      <sz val="12"/>
      <color theme="0"/>
      <name val="Gill Sans MT"/>
      <family val="2"/>
      <scheme val="major"/>
    </font>
    <font>
      <b/>
      <sz val="12"/>
      <name val="Gill Sans MT"/>
      <family val="2"/>
      <scheme val="major"/>
    </font>
    <font>
      <b/>
      <sz val="12"/>
      <color theme="1" tint="0.24994659260841701"/>
      <name val="Gill Sans MT"/>
      <family val="2"/>
      <scheme val="major"/>
    </font>
    <font>
      <sz val="10"/>
      <color theme="1" tint="0.24994659260841701"/>
      <name val="Gill Sans MT"/>
      <family val="2"/>
      <scheme val="minor"/>
    </font>
    <font>
      <sz val="10"/>
      <color theme="7" tint="-0.24994659260841701"/>
      <name val="Gill Sans MT"/>
      <family val="2"/>
      <scheme val="minor"/>
    </font>
    <font>
      <b/>
      <sz val="10"/>
      <color theme="1" tint="0.24994659260841701"/>
      <name val="Gill Sans MT"/>
      <family val="2"/>
      <scheme val="minor"/>
    </font>
    <font>
      <sz val="10"/>
      <color theme="6" tint="-0.24994659260841701"/>
      <name val="Gill Sans MT"/>
      <family val="2"/>
      <scheme val="minor"/>
    </font>
    <font>
      <sz val="10"/>
      <color theme="1" tint="0.14996795556505021"/>
      <name val="Gill Sans MT"/>
      <family val="2"/>
      <scheme val="minor"/>
    </font>
    <font>
      <b/>
      <sz val="12"/>
      <color theme="2"/>
      <name val="Gill Sans MT"/>
      <family val="2"/>
      <scheme val="major"/>
    </font>
    <font>
      <sz val="11"/>
      <color rgb="FF006100"/>
      <name val="Gill Sans MT"/>
      <family val="2"/>
      <scheme val="minor"/>
    </font>
    <font>
      <sz val="11"/>
      <color rgb="FF9C0006"/>
      <name val="Gill Sans MT"/>
      <family val="2"/>
      <scheme val="minor"/>
    </font>
    <font>
      <sz val="11"/>
      <color rgb="FF9C5700"/>
      <name val="Gill Sans MT"/>
      <family val="2"/>
      <scheme val="minor"/>
    </font>
    <font>
      <b/>
      <sz val="11"/>
      <color rgb="FF3F3F3F"/>
      <name val="Gill Sans MT"/>
      <family val="2"/>
      <scheme val="minor"/>
    </font>
    <font>
      <b/>
      <sz val="11"/>
      <color rgb="FFFA7D00"/>
      <name val="Gill Sans MT"/>
      <family val="2"/>
      <scheme val="minor"/>
    </font>
    <font>
      <sz val="11"/>
      <color rgb="FFFA7D00"/>
      <name val="Gill Sans MT"/>
      <family val="2"/>
      <scheme val="minor"/>
    </font>
    <font>
      <b/>
      <sz val="11"/>
      <color theme="0"/>
      <name val="Gill Sans MT"/>
      <family val="2"/>
      <scheme val="minor"/>
    </font>
    <font>
      <sz val="11"/>
      <color rgb="FFFF0000"/>
      <name val="Gill Sans MT"/>
      <family val="2"/>
      <scheme val="minor"/>
    </font>
    <font>
      <b/>
      <sz val="11"/>
      <color theme="1"/>
      <name val="Gill Sans MT"/>
      <family val="2"/>
      <scheme val="minor"/>
    </font>
    <font>
      <sz val="11"/>
      <color theme="0"/>
      <name val="Gill Sans MT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CF0F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DC3C7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C99"/>
      </patternFill>
    </fill>
    <fill>
      <patternFill patternType="solid">
        <fgColor theme="7" tint="-0.2499465926084170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0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theme="7" tint="-0.24994659260841701"/>
      </top>
      <bottom style="thin">
        <color theme="7" tint="-0.24994659260841701"/>
      </bottom>
      <diagonal/>
    </border>
    <border>
      <left/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/>
      <right/>
      <top style="thin">
        <color theme="6" tint="-0.24994659260841701"/>
      </top>
      <bottom style="thin">
        <color theme="6" tint="-0.24994659260841701"/>
      </bottom>
      <diagonal/>
    </border>
    <border>
      <left/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theme="1" tint="0.14996795556505021"/>
      </left>
      <right/>
      <top style="thin">
        <color theme="1" tint="0.14996795556505021"/>
      </top>
      <bottom style="thin">
        <color theme="1" tint="0.14996795556505021"/>
      </bottom>
      <diagonal/>
    </border>
    <border>
      <left/>
      <right/>
      <top style="thin">
        <color theme="1" tint="0.14996795556505021"/>
      </top>
      <bottom style="thin">
        <color theme="1" tint="0.14996795556505021"/>
      </bottom>
      <diagonal/>
    </border>
    <border>
      <left/>
      <right style="thin">
        <color theme="1" tint="0.14996795556505021"/>
      </right>
      <top style="thin">
        <color theme="1" tint="0.14996795556505021"/>
      </top>
      <bottom style="thin">
        <color theme="1" tint="0.149967955565050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theme="7" tint="-0.24994659260841701"/>
      </left>
      <right style="thin">
        <color theme="7" tint="-0.24994659260841701"/>
      </right>
      <top style="thin">
        <color theme="7" tint="-0.24994659260841701"/>
      </top>
      <bottom style="thin">
        <color theme="7" tint="-0.24994659260841701"/>
      </bottom>
      <diagonal/>
    </border>
    <border>
      <left style="thin">
        <color theme="6" tint="-0.24994659260841701"/>
      </left>
      <right style="thin">
        <color theme="6" tint="-0.24994659260841701"/>
      </right>
      <top style="thin">
        <color theme="6" tint="-0.24994659260841701"/>
      </top>
      <bottom style="thin">
        <color theme="6" tint="-0.249946592608417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 applyFill="0" applyBorder="0" applyProtection="0">
      <alignment horizontal="center" vertical="center"/>
    </xf>
    <xf numFmtId="0" fontId="23" fillId="0" borderId="0" applyNumberFormat="0" applyFill="0" applyProtection="0">
      <alignment horizontal="center" vertical="center"/>
    </xf>
    <xf numFmtId="0" fontId="21" fillId="0" borderId="14" applyNumberFormat="0" applyFill="0" applyBorder="0" applyProtection="0">
      <alignment horizontal="left" vertical="center" indent="1"/>
    </xf>
    <xf numFmtId="0" fontId="29" fillId="2" borderId="0" applyNumberFormat="0" applyFill="0" applyBorder="0" applyProtection="0">
      <alignment horizontal="center" vertical="center"/>
    </xf>
    <xf numFmtId="0" fontId="21" fillId="12" borderId="13" applyNumberFormat="0" applyProtection="0">
      <alignment horizontal="left" vertical="center" indent="1"/>
    </xf>
    <xf numFmtId="0" fontId="7" fillId="0" borderId="0" applyNumberFormat="0" applyFill="0" applyBorder="0" applyAlignment="0" applyProtection="0"/>
    <xf numFmtId="0" fontId="16" fillId="3" borderId="0" applyNumberFormat="0" applyFill="0" applyBorder="0" applyAlignment="0" applyProtection="0"/>
    <xf numFmtId="0" fontId="17" fillId="3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4" fillId="11" borderId="12" applyNumberFormat="0" applyFill="0" applyBorder="0" applyProtection="0">
      <alignment horizontal="left" vertical="center" indent="1"/>
    </xf>
    <xf numFmtId="0" fontId="25" fillId="0" borderId="0" applyFill="0" applyBorder="0" applyProtection="0">
      <alignment horizontal="center" vertical="center"/>
    </xf>
    <xf numFmtId="0" fontId="27" fillId="0" borderId="0" applyFill="0" applyBorder="0" applyProtection="0">
      <alignment horizontal="center" vertical="center"/>
    </xf>
    <xf numFmtId="0" fontId="28" fillId="0" borderId="0" applyFill="0" applyBorder="0" applyProtection="0">
      <alignment horizontal="center" vertical="center"/>
    </xf>
    <xf numFmtId="165" fontId="24" fillId="0" borderId="0" applyFont="0" applyFill="0" applyBorder="0" applyAlignment="0" applyProtection="0"/>
    <xf numFmtId="164" fontId="24" fillId="0" borderId="0" applyFont="0" applyFill="0" applyBorder="0" applyAlignment="0" applyProtection="0"/>
    <xf numFmtId="44" fontId="24" fillId="0" borderId="0" applyFont="0" applyFill="0" applyBorder="0" applyAlignment="0" applyProtection="0"/>
    <xf numFmtId="42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0" fillId="15" borderId="0" applyNumberFormat="0" applyBorder="0" applyAlignment="0" applyProtection="0"/>
    <xf numFmtId="0" fontId="31" fillId="16" borderId="0" applyNumberFormat="0" applyBorder="0" applyAlignment="0" applyProtection="0"/>
    <xf numFmtId="0" fontId="32" fillId="17" borderId="0" applyNumberFormat="0" applyBorder="0" applyAlignment="0" applyProtection="0"/>
    <xf numFmtId="0" fontId="33" fillId="18" borderId="15" applyNumberFormat="0" applyAlignment="0" applyProtection="0"/>
    <xf numFmtId="0" fontId="34" fillId="18" borderId="12" applyNumberFormat="0" applyAlignment="0" applyProtection="0"/>
    <xf numFmtId="0" fontId="35" fillId="0" borderId="16" applyNumberFormat="0" applyFill="0" applyAlignment="0" applyProtection="0"/>
    <xf numFmtId="0" fontId="36" fillId="19" borderId="17" applyNumberFormat="0" applyAlignment="0" applyProtection="0"/>
    <xf numFmtId="0" fontId="37" fillId="0" borderId="0" applyNumberFormat="0" applyFill="0" applyBorder="0" applyAlignment="0" applyProtection="0"/>
    <xf numFmtId="0" fontId="24" fillId="20" borderId="18" applyNumberFormat="0" applyFont="0" applyAlignment="0" applyProtection="0"/>
    <xf numFmtId="0" fontId="38" fillId="0" borderId="19" applyNumberFormat="0" applyFill="0" applyAlignment="0" applyProtection="0"/>
    <xf numFmtId="0" fontId="3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3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3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3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39" fillId="37" borderId="0" applyNumberFormat="0" applyBorder="0" applyAlignment="0" applyProtection="0"/>
    <xf numFmtId="0" fontId="1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40" borderId="0" applyNumberFormat="0" applyBorder="0" applyAlignment="0" applyProtection="0"/>
    <xf numFmtId="0" fontId="39" fillId="41" borderId="0" applyNumberFormat="0" applyBorder="0" applyAlignment="0" applyProtection="0"/>
    <xf numFmtId="0" fontId="1" fillId="42" borderId="0" applyNumberFormat="0" applyBorder="0" applyAlignment="0" applyProtection="0"/>
    <xf numFmtId="0" fontId="1" fillId="43" borderId="0" applyNumberFormat="0" applyBorder="0" applyAlignment="0" applyProtection="0"/>
    <xf numFmtId="0" fontId="1" fillId="44" borderId="0" applyNumberFormat="0" applyBorder="0" applyAlignment="0" applyProtection="0"/>
  </cellStyleXfs>
  <cellXfs count="81">
    <xf numFmtId="0" fontId="0" fillId="0" borderId="0" xfId="0">
      <alignment horizontal="center" vertical="center"/>
    </xf>
    <xf numFmtId="0" fontId="10" fillId="4" borderId="0" xfId="0" applyFont="1" applyFill="1" applyAlignment="1">
      <alignment horizontal="left" vertical="top" wrapText="1" indent="1"/>
    </xf>
    <xf numFmtId="0" fontId="4" fillId="4" borderId="0" xfId="0" applyFont="1" applyFill="1" applyAlignment="1">
      <alignment horizontal="left" vertical="top" indent="1"/>
    </xf>
    <xf numFmtId="0" fontId="13" fillId="4" borderId="0" xfId="0" applyFont="1" applyFill="1" applyAlignment="1">
      <alignment horizontal="left" vertical="top" indent="1"/>
    </xf>
    <xf numFmtId="0" fontId="4" fillId="4" borderId="0" xfId="0" applyFont="1" applyFill="1">
      <alignment horizontal="center" vertical="center"/>
    </xf>
    <xf numFmtId="0" fontId="10" fillId="4" borderId="0" xfId="0" applyFont="1" applyFill="1" applyAlignment="1">
      <alignment horizontal="left" vertical="top" indent="1"/>
    </xf>
    <xf numFmtId="0" fontId="11" fillId="4" borderId="0" xfId="0" applyFont="1" applyFill="1">
      <alignment horizontal="center" vertical="center"/>
    </xf>
    <xf numFmtId="0" fontId="8" fillId="4" borderId="0" xfId="0" applyFont="1" applyFill="1">
      <alignment horizontal="center" vertical="center"/>
    </xf>
    <xf numFmtId="0" fontId="14" fillId="4" borderId="0" xfId="0" applyFont="1" applyFill="1">
      <alignment horizontal="center" vertical="center"/>
    </xf>
    <xf numFmtId="0" fontId="0" fillId="4" borderId="0" xfId="0" applyFill="1">
      <alignment horizontal="center" vertical="center"/>
    </xf>
    <xf numFmtId="0" fontId="5" fillId="4" borderId="0" xfId="0" applyFont="1" applyFill="1">
      <alignment horizontal="center" vertical="center"/>
    </xf>
    <xf numFmtId="0" fontId="11" fillId="4" borderId="0" xfId="0" applyFont="1" applyFill="1" applyAlignment="1">
      <alignment wrapText="1"/>
    </xf>
    <xf numFmtId="0" fontId="12" fillId="4" borderId="0" xfId="0" applyFont="1" applyFill="1" applyAlignment="1">
      <alignment vertical="center" wrapText="1"/>
    </xf>
    <xf numFmtId="0" fontId="0" fillId="4" borderId="0" xfId="0" applyFill="1" applyAlignment="1">
      <alignment horizontal="left" indent="1"/>
    </xf>
    <xf numFmtId="0" fontId="0" fillId="4" borderId="0" xfId="0" applyFill="1" applyAlignment="1">
      <alignment horizontal="right"/>
    </xf>
    <xf numFmtId="0" fontId="5" fillId="4" borderId="0" xfId="0" applyFont="1" applyFill="1" applyAlignment="1">
      <alignment horizontal="left"/>
    </xf>
    <xf numFmtId="0" fontId="0" fillId="4" borderId="0" xfId="0" applyFill="1" applyAlignment="1">
      <alignment vertical="center"/>
    </xf>
    <xf numFmtId="0" fontId="21" fillId="10" borderId="14" xfId="2" applyFill="1" applyAlignment="1">
      <alignment horizontal="center" vertical="center"/>
    </xf>
    <xf numFmtId="0" fontId="18" fillId="4" borderId="0" xfId="0" applyFont="1" applyFill="1" applyAlignment="1">
      <alignment horizontal="left" vertical="top" wrapText="1"/>
    </xf>
    <xf numFmtId="0" fontId="18" fillId="4" borderId="0" xfId="0" quotePrefix="1" applyFont="1" applyFill="1" applyAlignment="1">
      <alignment horizontal="left" vertical="top" wrapText="1"/>
    </xf>
    <xf numFmtId="0" fontId="4" fillId="0" borderId="0" xfId="0" applyFont="1">
      <alignment horizontal="center" vertical="center"/>
    </xf>
    <xf numFmtId="0" fontId="11" fillId="0" borderId="0" xfId="0" applyFont="1">
      <alignment horizontal="center" vertical="center"/>
    </xf>
    <xf numFmtId="0" fontId="6" fillId="0" borderId="0" xfId="0" applyFont="1">
      <alignment horizontal="center" vertical="center"/>
    </xf>
    <xf numFmtId="0" fontId="5" fillId="0" borderId="0" xfId="0" applyFont="1">
      <alignment horizontal="center" vertical="center"/>
    </xf>
    <xf numFmtId="0" fontId="20" fillId="4" borderId="0" xfId="0" applyFont="1" applyFill="1">
      <alignment horizontal="center" vertical="center"/>
    </xf>
    <xf numFmtId="0" fontId="2" fillId="4" borderId="0" xfId="0" applyFont="1" applyFill="1">
      <alignment horizontal="center" vertical="center"/>
    </xf>
    <xf numFmtId="0" fontId="11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8" fillId="0" borderId="0" xfId="0" applyFont="1">
      <alignment horizontal="center" vertical="center"/>
    </xf>
    <xf numFmtId="0" fontId="2" fillId="0" borderId="0" xfId="0" applyFont="1">
      <alignment horizontal="center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wrapText="1"/>
    </xf>
    <xf numFmtId="0" fontId="22" fillId="5" borderId="0" xfId="8" applyFill="1" applyAlignment="1">
      <alignment horizontal="left" vertical="center" indent="1"/>
    </xf>
    <xf numFmtId="0" fontId="29" fillId="2" borderId="0" xfId="3">
      <alignment horizontal="center" vertical="center"/>
    </xf>
    <xf numFmtId="0" fontId="25" fillId="0" borderId="0" xfId="10">
      <alignment horizontal="center" vertical="center"/>
    </xf>
    <xf numFmtId="0" fontId="25" fillId="7" borderId="5" xfId="10" applyFill="1" applyBorder="1">
      <alignment horizontal="center" vertical="center"/>
    </xf>
    <xf numFmtId="0" fontId="25" fillId="7" borderId="6" xfId="10" applyFill="1" applyBorder="1">
      <alignment horizontal="center" vertical="center"/>
    </xf>
    <xf numFmtId="0" fontId="21" fillId="0" borderId="0" xfId="2" applyBorder="1">
      <alignment horizontal="left" vertical="center" indent="1"/>
    </xf>
    <xf numFmtId="0" fontId="27" fillId="0" borderId="0" xfId="11">
      <alignment horizontal="center" vertical="center"/>
    </xf>
    <xf numFmtId="0" fontId="27" fillId="13" borderId="7" xfId="11" applyFill="1" applyBorder="1">
      <alignment horizontal="center" vertical="center"/>
    </xf>
    <xf numFmtId="0" fontId="27" fillId="13" borderId="8" xfId="11" applyFill="1" applyBorder="1">
      <alignment horizontal="center" vertical="center"/>
    </xf>
    <xf numFmtId="0" fontId="28" fillId="0" borderId="0" xfId="12">
      <alignment horizontal="center" vertical="center"/>
    </xf>
    <xf numFmtId="0" fontId="28" fillId="14" borderId="10" xfId="12" applyFill="1" applyBorder="1">
      <alignment horizontal="center" vertical="center"/>
    </xf>
    <xf numFmtId="0" fontId="28" fillId="14" borderId="11" xfId="12" applyFill="1" applyBorder="1">
      <alignment horizontal="center" vertical="center"/>
    </xf>
    <xf numFmtId="9" fontId="0" fillId="0" borderId="0" xfId="0" applyNumberFormat="1">
      <alignment horizontal="center" vertical="center"/>
    </xf>
    <xf numFmtId="9" fontId="26" fillId="0" borderId="0" xfId="0" applyNumberFormat="1" applyFont="1">
      <alignment horizontal="center" vertical="center"/>
    </xf>
    <xf numFmtId="0" fontId="29" fillId="0" borderId="0" xfId="3" applyFill="1">
      <alignment horizontal="center" vertical="center"/>
    </xf>
    <xf numFmtId="0" fontId="23" fillId="4" borderId="0" xfId="1" applyNumberFormat="1" applyFill="1">
      <alignment horizontal="center" vertical="center"/>
    </xf>
    <xf numFmtId="0" fontId="23" fillId="5" borderId="0" xfId="1" applyNumberFormat="1" applyFill="1">
      <alignment horizontal="center" vertical="center"/>
    </xf>
    <xf numFmtId="0" fontId="21" fillId="0" borderId="14" xfId="2" applyNumberFormat="1">
      <alignment horizontal="left" vertical="center" indent="1"/>
    </xf>
    <xf numFmtId="0" fontId="24" fillId="11" borderId="12" xfId="9" applyNumberFormat="1">
      <alignment horizontal="left" vertical="center" indent="1"/>
    </xf>
    <xf numFmtId="0" fontId="24" fillId="6" borderId="2" xfId="9" applyNumberFormat="1" applyFill="1" applyBorder="1">
      <alignment horizontal="left" vertical="center" indent="1"/>
    </xf>
    <xf numFmtId="0" fontId="24" fillId="6" borderId="1" xfId="9" applyNumberFormat="1" applyFill="1" applyBorder="1">
      <alignment horizontal="left" vertical="center" indent="1"/>
    </xf>
    <xf numFmtId="0" fontId="24" fillId="8" borderId="1" xfId="9" applyNumberFormat="1" applyFill="1" applyBorder="1">
      <alignment horizontal="left" vertical="center" indent="1"/>
    </xf>
    <xf numFmtId="0" fontId="21" fillId="12" borderId="13" xfId="4" applyNumberFormat="1">
      <alignment horizontal="left" vertical="center" indent="1"/>
    </xf>
    <xf numFmtId="0" fontId="21" fillId="12" borderId="14" xfId="2" applyNumberFormat="1" applyFill="1">
      <alignment horizontal="left" vertical="center" indent="1"/>
    </xf>
    <xf numFmtId="0" fontId="24" fillId="0" borderId="0" xfId="9" applyNumberFormat="1" applyFill="1" applyBorder="1">
      <alignment horizontal="left" vertical="center" indent="1"/>
    </xf>
    <xf numFmtId="0" fontId="21" fillId="0" borderId="0" xfId="2" applyNumberFormat="1" applyBorder="1">
      <alignment horizontal="left" vertical="center" indent="1"/>
    </xf>
    <xf numFmtId="0" fontId="24" fillId="8" borderId="3" xfId="9" applyNumberFormat="1" applyFill="1" applyBorder="1">
      <alignment horizontal="left" vertical="center" indent="1"/>
    </xf>
    <xf numFmtId="0" fontId="21" fillId="14" borderId="9" xfId="2" applyNumberFormat="1" applyFill="1" applyBorder="1">
      <alignment horizontal="left" vertical="center" indent="1"/>
    </xf>
    <xf numFmtId="0" fontId="26" fillId="0" borderId="0" xfId="9" applyNumberFormat="1" applyFont="1" applyFill="1" applyBorder="1">
      <alignment horizontal="left" vertical="center" indent="1"/>
    </xf>
    <xf numFmtId="8" fontId="0" fillId="0" borderId="0" xfId="0" applyNumberFormat="1">
      <alignment horizontal="center" vertical="center"/>
    </xf>
    <xf numFmtId="8" fontId="19" fillId="4" borderId="2" xfId="0" applyNumberFormat="1" applyFont="1" applyFill="1" applyBorder="1">
      <alignment horizontal="center" vertical="center"/>
    </xf>
    <xf numFmtId="8" fontId="19" fillId="4" borderId="1" xfId="0" applyNumberFormat="1" applyFont="1" applyFill="1" applyBorder="1">
      <alignment horizontal="center" vertical="center"/>
    </xf>
    <xf numFmtId="8" fontId="19" fillId="8" borderId="1" xfId="0" applyNumberFormat="1" applyFont="1" applyFill="1" applyBorder="1">
      <alignment horizontal="center" vertical="center"/>
    </xf>
    <xf numFmtId="8" fontId="19" fillId="4" borderId="2" xfId="0" applyNumberFormat="1" applyFont="1" applyFill="1" applyBorder="1" applyAlignment="1">
      <alignment horizontal="right" vertical="center"/>
    </xf>
    <xf numFmtId="8" fontId="19" fillId="8" borderId="1" xfId="0" applyNumberFormat="1" applyFont="1" applyFill="1" applyBorder="1" applyAlignment="1">
      <alignment horizontal="right" vertical="center"/>
    </xf>
    <xf numFmtId="8" fontId="19" fillId="8" borderId="3" xfId="0" applyNumberFormat="1" applyFont="1" applyFill="1" applyBorder="1">
      <alignment horizontal="center" vertical="center"/>
    </xf>
    <xf numFmtId="8" fontId="0" fillId="0" borderId="0" xfId="0" applyNumberFormat="1" applyAlignment="1">
      <alignment horizontal="right" vertical="center"/>
    </xf>
    <xf numFmtId="8" fontId="26" fillId="0" borderId="0" xfId="0" applyNumberFormat="1" applyFont="1">
      <alignment horizontal="center" vertical="center"/>
    </xf>
    <xf numFmtId="0" fontId="4" fillId="9" borderId="0" xfId="0" applyFont="1" applyFill="1" applyAlignment="1">
      <alignment horizontal="center" vertical="top"/>
    </xf>
    <xf numFmtId="0" fontId="3" fillId="4" borderId="0" xfId="0" applyFont="1" applyFill="1" applyAlignment="1">
      <alignment horizontal="center"/>
    </xf>
    <xf numFmtId="0" fontId="0" fillId="4" borderId="0" xfId="0" applyFill="1">
      <alignment horizontal="center" vertical="center"/>
    </xf>
    <xf numFmtId="0" fontId="15" fillId="4" borderId="4" xfId="0" applyFont="1" applyFill="1" applyBorder="1" applyAlignment="1">
      <alignment horizontal="center"/>
    </xf>
    <xf numFmtId="0" fontId="6" fillId="4" borderId="0" xfId="0" applyFont="1" applyFill="1" applyAlignment="1">
      <alignment horizontal="center"/>
    </xf>
    <xf numFmtId="0" fontId="5" fillId="4" borderId="0" xfId="0" applyFont="1" applyFill="1" applyAlignment="1">
      <alignment horizontal="center"/>
    </xf>
    <xf numFmtId="0" fontId="9" fillId="4" borderId="0" xfId="0" applyFont="1" applyFill="1" applyAlignment="1">
      <alignment horizontal="left"/>
    </xf>
    <xf numFmtId="0" fontId="9" fillId="4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</cellXfs>
  <cellStyles count="52">
    <cellStyle name="20% - Ênfase1" xfId="29" builtinId="30" customBuiltin="1"/>
    <cellStyle name="20% - Ênfase2" xfId="33" builtinId="34" customBuiltin="1"/>
    <cellStyle name="20% - Ênfase3" xfId="37" builtinId="38" customBuiltin="1"/>
    <cellStyle name="20% - Ênfase4" xfId="41" builtinId="42" customBuiltin="1"/>
    <cellStyle name="20% - Ênfase5" xfId="45" builtinId="46" customBuiltin="1"/>
    <cellStyle name="20% - Ênfase6" xfId="49" builtinId="50" customBuiltin="1"/>
    <cellStyle name="40% - Ênfase1" xfId="30" builtinId="31" customBuiltin="1"/>
    <cellStyle name="40% - Ênfase2" xfId="34" builtinId="35" customBuiltin="1"/>
    <cellStyle name="40% - Ênfase3" xfId="38" builtinId="39" customBuiltin="1"/>
    <cellStyle name="40% - Ênfase4" xfId="42" builtinId="43" customBuiltin="1"/>
    <cellStyle name="40% - Ênfase5" xfId="46" builtinId="47" customBuiltin="1"/>
    <cellStyle name="40% - Ênfase6" xfId="50" builtinId="51" customBuiltin="1"/>
    <cellStyle name="60% - Ênfase1" xfId="31" builtinId="32" customBuiltin="1"/>
    <cellStyle name="60% - Ênfase2" xfId="35" builtinId="36" customBuiltin="1"/>
    <cellStyle name="60% - Ênfase3" xfId="39" builtinId="40" customBuiltin="1"/>
    <cellStyle name="60% - Ênfase4" xfId="43" builtinId="44" customBuiltin="1"/>
    <cellStyle name="60% - Ênfase5" xfId="47" builtinId="48" customBuiltin="1"/>
    <cellStyle name="60% - Ênfase6" xfId="51" builtinId="52" customBuiltin="1"/>
    <cellStyle name="Bom" xfId="18" builtinId="26" customBuiltin="1"/>
    <cellStyle name="Cálculo" xfId="22" builtinId="22" customBuiltin="1"/>
    <cellStyle name="Célula de Verificação" xfId="24" builtinId="23" customBuiltin="1"/>
    <cellStyle name="Célula Vinculada" xfId="23" builtinId="24" customBuiltin="1"/>
    <cellStyle name="Ênfase1" xfId="28" builtinId="29" customBuiltin="1"/>
    <cellStyle name="Ênfase2" xfId="32" builtinId="33" customBuiltin="1"/>
    <cellStyle name="Ênfase3" xfId="36" builtinId="37" customBuiltin="1"/>
    <cellStyle name="Ênfase4" xfId="40" builtinId="41" customBuiltin="1"/>
    <cellStyle name="Ênfase5" xfId="44" builtinId="45" customBuiltin="1"/>
    <cellStyle name="Ênfase6" xfId="48" builtinId="49" customBuiltin="1"/>
    <cellStyle name="Entrada" xfId="9" builtinId="20" customBuiltin="1"/>
    <cellStyle name="Hiperlink" xfId="6" builtinId="8" hidden="1"/>
    <cellStyle name="Hiperlink Visitado" xfId="7" builtinId="9" hidden="1"/>
    <cellStyle name="Moeda" xfId="15" builtinId="4" customBuiltin="1"/>
    <cellStyle name="Moeda [0]" xfId="16" builtinId="7" customBuiltin="1"/>
    <cellStyle name="Neutro" xfId="20" builtinId="28" customBuiltin="1"/>
    <cellStyle name="Normal" xfId="0" builtinId="0" customBuiltin="1"/>
    <cellStyle name="Nota" xfId="26" builtinId="10" customBuiltin="1"/>
    <cellStyle name="Porcentagem" xfId="17" builtinId="5" customBuiltin="1"/>
    <cellStyle name="Ruim" xfId="19" builtinId="27" customBuiltin="1"/>
    <cellStyle name="Saída" xfId="21" builtinId="21" customBuiltin="1"/>
    <cellStyle name="Separador de milhares [0]" xfId="14" builtinId="6" customBuiltin="1"/>
    <cellStyle name="Texto de Aviso" xfId="25" builtinId="11" customBuiltin="1"/>
    <cellStyle name="Texto Explicativo" xfId="5" builtinId="53" customBuiltin="1"/>
    <cellStyle name="Texto oculto 1" xfId="10" xr:uid="{00000000-0005-0000-0000-000006000000}"/>
    <cellStyle name="Texto oculto 2" xfId="11" xr:uid="{00000000-0005-0000-0000-000007000000}"/>
    <cellStyle name="Texto oculto 3" xfId="12" xr:uid="{00000000-0005-0000-0000-000008000000}"/>
    <cellStyle name="Título" xfId="8" builtinId="15" customBuiltin="1"/>
    <cellStyle name="Título 1" xfId="1" builtinId="16" customBuiltin="1"/>
    <cellStyle name="Título 2" xfId="2" builtinId="17" customBuiltin="1"/>
    <cellStyle name="Título 3" xfId="3" builtinId="18" customBuiltin="1"/>
    <cellStyle name="Título 4" xfId="4" builtinId="19" customBuiltin="1"/>
    <cellStyle name="Total" xfId="27" builtinId="25" customBuiltin="1"/>
    <cellStyle name="Vírgula" xfId="13" builtinId="3" customBuiltin="1"/>
  </cellStyles>
  <dxfs count="470"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font>
        <b/>
      </font>
      <numFmt numFmtId="0" formatCode="General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numFmt numFmtId="12" formatCode="&quot;R$&quot;\ #,##0.00;[Red]\-&quot;R$&quot;\ #,##0.00"/>
    </dxf>
    <dxf>
      <alignment horizontal="left" vertical="center" textRotation="0" wrapText="0" indent="1" justifyLastLine="0" shrinkToFit="0" readingOrder="0"/>
    </dxf>
    <dxf>
      <numFmt numFmtId="0" formatCode="General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0" formatCode="General"/>
    </dxf>
    <dxf>
      <numFmt numFmtId="0" formatCode="General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ill Sans MT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7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diagonalUp="0" diagonalDown="0">
        <left/>
        <right/>
        <top/>
        <bottom/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1" tint="0.149967955565050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262626"/>
        <name val="Gill Sans MT"/>
        <scheme val="none"/>
      </font>
      <numFmt numFmtId="0" formatCode="General"/>
      <fill>
        <patternFill patternType="solid">
          <fgColor indexed="64"/>
          <bgColor theme="1" tint="0.14999847407452621"/>
        </patternFill>
      </fill>
      <border diagonalUp="0" diagonalDown="0" outline="0">
        <left/>
        <right/>
        <top/>
        <bottom/>
      </border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family val="2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6" tint="0.79998168889431442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ill>
        <patternFill patternType="solid">
          <fgColor indexed="64"/>
          <bgColor theme="3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0" formatCode="General"/>
      <fill>
        <patternFill patternType="solid">
          <fgColor indexed="64"/>
          <bgColor theme="3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ill Sans MT"/>
        <scheme val="none"/>
      </font>
      <numFmt numFmtId="0" formatCode="General"/>
      <fill>
        <patternFill patternType="solid">
          <fgColor indexed="64"/>
          <bgColor rgb="FF0070C0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0" formatCode="General"/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numFmt numFmtId="0" formatCode="General"/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7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diagonalUp="0" diagonalDown="0">
        <left/>
        <right/>
        <top/>
        <bottom/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70C0"/>
        <name val="Gill Sans MT"/>
        <scheme val="none"/>
      </font>
      <numFmt numFmtId="0" formatCode="General"/>
      <fill>
        <patternFill patternType="solid">
          <fgColor indexed="64"/>
          <bgColor rgb="FF0070C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0" formatCode="General"/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border>
        <top style="medium">
          <color theme="6" tint="0.39994506668294322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none"/>
      </font>
      <numFmt numFmtId="167" formatCode="&quot;$&quot;#,##0.00_);[Red]\(&quot;$&quot;#,##0.00\)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border outline="0">
        <bottom style="thin">
          <color theme="0" tint="-0.34998626667073579"/>
        </bottom>
      </border>
    </dxf>
    <dxf>
      <font>
        <sz val="10"/>
        <color theme="1" tint="0.249977111117893"/>
        <name val="Gill Sans MT"/>
        <scheme val="none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thin">
          <color theme="6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20C4D"/>
        <name val="Gill Sans MT"/>
        <scheme val="minor"/>
      </font>
      <numFmt numFmtId="0" formatCode="General"/>
      <fill>
        <patternFill patternType="solid">
          <fgColor indexed="64"/>
          <bgColor rgb="FF0070C0"/>
        </patternFill>
      </fill>
      <border diagonalUp="0" diagonalDown="0">
        <left/>
        <right/>
        <top/>
        <bottom/>
        <vertical/>
        <horizontal/>
      </border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0" formatCode="General"/>
    </dxf>
    <dxf>
      <numFmt numFmtId="0" formatCode="General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family val="2"/>
        <scheme val="minor"/>
      </font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numFmt numFmtId="0" formatCode="General"/>
      <fill>
        <patternFill patternType="solid">
          <fgColor indexed="64"/>
          <bgColor theme="0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Gill Sans MT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right" vertical="center" textRotation="0" wrapText="0" indent="0" justifyLastLine="0" shrinkToFit="0" readingOrder="0"/>
    </dxf>
    <dxf>
      <border>
        <bottom style="thin">
          <color theme="7" tint="-0.2499465926084170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Gill Sans MT"/>
        <scheme val="minor"/>
      </font>
      <numFmt numFmtId="0" formatCode="General"/>
      <fill>
        <patternFill patternType="solid">
          <fgColor indexed="64"/>
          <bgColor rgb="FF820C4D"/>
        </patternFill>
      </fill>
      <alignment horizontal="general" vertical="center" textRotation="0" wrapText="0" indent="0" justifyLastLine="0" shrinkToFit="0" readingOrder="0"/>
      <border diagonalUp="0" diagonalDown="0">
        <left/>
        <right/>
        <top/>
        <bottom/>
        <vertical/>
        <horizontal/>
      </border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166" formatCode="&quot;R$&quot;\ #,##0.00;[Red]&quot;R$&quot;\ #,##0.00"/>
    </dxf>
    <dxf>
      <numFmt numFmtId="12" formatCode="&quot;R$&quot;\ #,##0.00;[Red]\-&quot;R$&quot;\ #,##0.00"/>
    </dxf>
    <dxf>
      <numFmt numFmtId="0" formatCode="General"/>
    </dxf>
    <dxf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4659260841701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  <vertical style="thin">
          <color theme="0" tint="-0.34998626667073579"/>
        </vertical>
        <horizontal style="thin">
          <color theme="0" tint="-0.34998626667073579"/>
        </horizontal>
      </border>
    </dxf>
    <dxf>
      <numFmt numFmtId="0" formatCode="General"/>
      <fill>
        <patternFill patternType="solid">
          <fgColor indexed="64"/>
          <bgColor theme="0" tint="-4.9989318521683403E-2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thin">
          <color theme="0" tint="-0.34998626667073579"/>
        </left>
        <right style="thin">
          <color theme="0" tint="-0.34998626667073579"/>
        </right>
        <top/>
        <bottom/>
      </border>
    </dxf>
    <dxf>
      <font>
        <strike val="0"/>
        <outline val="0"/>
        <shadow val="0"/>
        <u val="none"/>
        <vertAlign val="baseline"/>
        <sz val="10"/>
        <name val="Gill Sans MT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7" tint="-0.2499465926084170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820C4D"/>
        <name val="Gill Sans MT"/>
        <scheme val="minor"/>
      </font>
      <numFmt numFmtId="0" formatCode="General"/>
      <fill>
        <patternFill patternType="solid">
          <fgColor indexed="64"/>
          <bgColor theme="7" tint="-0.249977111117893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numFmt numFmtId="12" formatCode="&quot;R$&quot;\ #,##0.00;[Red]\-&quot;R$&quot;\ 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numFmt numFmtId="0" formatCode="General"/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medium">
          <color theme="6" tint="0.39994506668294322"/>
        </left>
        <right style="medium">
          <color theme="6" tint="0.399945066682943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7" tint="-0.24994659260841701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rgb="FF820C4D"/>
        </patternFill>
      </fill>
      <border diagonalUp="0" diagonalDown="0">
        <left/>
        <right/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strike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2" formatCode="&quot;R$&quot;\ #,##0.00;[Red]\-&quot;R$&quot;\ 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249977111117893"/>
        <name val="Gill Sans MT"/>
        <scheme val="minor"/>
      </font>
      <numFmt numFmtId="166" formatCode="&quot;R$&quot;\ #,##0.00;[Red]&quot;R$&quot;\ #,##0.00"/>
      <fill>
        <patternFill patternType="solid">
          <fgColor indexed="64"/>
          <bgColor theme="0" tint="-0.1499984740745262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numFmt numFmtId="12" formatCode="&quot;R$&quot;\ #,##0.00;[Red]\-&quot;R$&quot;\ 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0.14999847407452621"/>
        <name val="Gill Sans MT"/>
        <scheme val="minor"/>
      </font>
      <fill>
        <patternFill patternType="solid">
          <fgColor indexed="64"/>
          <bgColor theme="0" tint="-0.14999847407452621"/>
        </patternFill>
      </fill>
      <alignment horizontal="left" vertical="center" textRotation="0" wrapText="0" indent="1" justifyLastLine="0" shrinkToFit="0" readingOrder="0"/>
      <border diagonalUp="0" diagonalDown="0" outline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</border>
    </dxf>
    <dxf>
      <numFmt numFmtId="0" formatCode="General"/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 tint="-0.14999847407452621"/>
        </patternFill>
      </fill>
      <border diagonalUp="0" diagonalDown="0" outline="0">
        <left style="medium">
          <color theme="6" tint="0.39994506668294322"/>
        </left>
        <right style="medium">
          <color theme="6" tint="0.39994506668294322"/>
        </right>
        <top/>
        <bottom/>
      </border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theme="7" tint="-0.24994659260841701"/>
        </bottom>
      </border>
    </dxf>
    <dxf>
      <font>
        <strike val="0"/>
        <outline val="0"/>
        <shadow val="0"/>
        <u val="none"/>
        <vertAlign val="baseline"/>
        <name val="Gill Sans MT"/>
        <scheme val="minor"/>
      </font>
      <fill>
        <patternFill patternType="solid">
          <fgColor indexed="64"/>
          <bgColor rgb="FF820C4D"/>
        </patternFill>
      </fill>
      <border diagonalUp="0" diagonalDown="0">
        <left/>
        <right/>
        <top/>
        <bottom/>
        <vertical/>
        <horizontal/>
      </border>
    </dxf>
    <dxf>
      <fill>
        <patternFill>
          <bgColor theme="0" tint="-4.9989318521683403E-2"/>
        </patternFill>
      </fill>
    </dxf>
    <dxf>
      <font>
        <b/>
        <i val="0"/>
      </font>
    </dxf>
    <dxf>
      <font>
        <b/>
        <i val="0"/>
        <color auto="1"/>
      </font>
      <fill>
        <patternFill patternType="none">
          <fgColor indexed="64"/>
          <bgColor auto="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color theme="1"/>
      </font>
      <fill>
        <patternFill patternType="none">
          <bgColor auto="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color auto="1"/>
      </font>
      <fill>
        <patternFill>
          <bgColor theme="3" tint="-0.499984740745262"/>
        </patternFill>
      </fill>
      <border diagonalUp="0" diagonalDown="0">
        <left style="thin">
          <color theme="3" tint="-0.499984740745262"/>
        </left>
        <right style="thin">
          <color theme="3" tint="-0.499984740745262"/>
        </right>
        <top style="thin">
          <color theme="3" tint="-0.499984740745262"/>
        </top>
        <bottom style="thin">
          <color theme="3" tint="-0.499984740745262"/>
        </bottom>
        <vertical/>
        <horizontal/>
      </border>
    </dxf>
    <dxf>
      <font>
        <b val="0"/>
        <i val="0"/>
        <color theme="1"/>
      </font>
      <fill>
        <patternFill patternType="none">
          <bgColor auto="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</font>
    </dxf>
    <dxf>
      <font>
        <b/>
        <i val="0"/>
        <color auto="1"/>
      </font>
      <fill>
        <patternFill>
          <fgColor theme="3"/>
          <bgColor theme="0" tint="-4.9989318521683403E-2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color theme="1"/>
      </font>
      <fill>
        <patternFill>
          <bgColor theme="0" tint="-0.1499679555650502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color theme="6" tint="0.39994506668294322"/>
      </font>
      <fill>
        <patternFill>
          <bgColor theme="1" tint="0.14996795556505021"/>
        </patternFill>
      </fill>
      <border diagonalUp="0" diagonalDown="0">
        <left style="thin">
          <color theme="1" tint="0.14996795556505021"/>
        </left>
        <right style="thin">
          <color theme="1" tint="0.14996795556505021"/>
        </right>
        <top style="thin">
          <color theme="1" tint="0.14996795556505021"/>
        </top>
        <bottom style="thin">
          <color theme="1" tint="0.14996795556505021"/>
        </bottom>
        <vertical/>
        <horizontal/>
      </border>
    </dxf>
    <dxf>
      <font>
        <b val="0"/>
        <i val="0"/>
        <color theme="1"/>
      </font>
      <fill>
        <patternFill patternType="none">
          <bgColor auto="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</font>
    </dxf>
    <dxf>
      <font>
        <b/>
        <i val="0"/>
        <color auto="1"/>
      </font>
      <fill>
        <patternFill>
          <fgColor theme="3"/>
          <bgColor theme="0" tint="-4.9989318521683403E-2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color theme="1"/>
      </font>
      <fill>
        <patternFill>
          <bgColor theme="0" tint="-0.1499679555650502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color theme="6" tint="0.39994506668294322"/>
      </font>
      <fill>
        <patternFill>
          <bgColor theme="6" tint="-0.24994659260841701"/>
        </patternFill>
      </fill>
      <border diagonalUp="0" diagonalDown="0">
        <left style="thin">
          <color theme="6" tint="-0.24994659260841701"/>
        </left>
        <right style="thin">
          <color theme="6" tint="-0.24994659260841701"/>
        </right>
        <top style="thin">
          <color theme="6" tint="-0.24994659260841701"/>
        </top>
        <bottom style="thin">
          <color theme="6" tint="-0.24994659260841701"/>
        </bottom>
        <vertical/>
        <horizontal/>
      </border>
    </dxf>
    <dxf>
      <font>
        <b val="0"/>
        <i val="0"/>
        <color theme="1"/>
      </font>
      <fill>
        <patternFill patternType="none">
          <bgColor auto="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</font>
    </dxf>
    <dxf>
      <font>
        <b/>
        <i val="0"/>
        <color auto="1"/>
      </font>
      <fill>
        <patternFill>
          <fgColor theme="3"/>
          <bgColor theme="0" tint="-4.9989318521683403E-2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b/>
        <i val="0"/>
        <color theme="1"/>
      </font>
      <fill>
        <patternFill>
          <bgColor theme="0" tint="-0.1499679555650502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  <dxf>
      <font>
        <color theme="6" tint="0.39994506668294322"/>
      </font>
      <fill>
        <patternFill>
          <bgColor theme="7" tint="-0.24994659260841701"/>
        </patternFill>
      </fill>
      <border diagonalUp="0" diagonalDown="0">
        <left style="thin">
          <color theme="7" tint="-0.24994659260841701"/>
        </left>
        <right style="thin">
          <color theme="7" tint="-0.24994659260841701"/>
        </right>
        <top style="thin">
          <color theme="7" tint="-0.24994659260841701"/>
        </top>
        <bottom style="thin">
          <color theme="7" tint="-0.24994659260841701"/>
        </bottom>
        <vertical/>
        <horizontal/>
      </border>
    </dxf>
    <dxf>
      <font>
        <b val="0"/>
        <i val="0"/>
        <color theme="1"/>
      </font>
      <fill>
        <patternFill patternType="none">
          <bgColor auto="1"/>
        </patternFill>
      </fill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 style="thin">
          <color theme="0" tint="-0.34998626667073579"/>
        </vertical>
        <horizontal style="thin">
          <color theme="0" tint="-0.34998626667073579"/>
        </horizontal>
      </border>
    </dxf>
  </dxfs>
  <tableStyles count="4" defaultPivotStyle="PivotStyleLight16">
    <tableStyle name="Tabela de Orçamento de Despesas de Negócios 1" pivot="0" count="5" xr9:uid="{00000000-0011-0000-FFFF-FFFF00000000}">
      <tableStyleElement type="wholeTable" dxfId="469"/>
      <tableStyleElement type="headerRow" dxfId="468"/>
      <tableStyleElement type="totalRow" dxfId="467"/>
      <tableStyleElement type="firstColumn" dxfId="466"/>
      <tableStyleElement type="lastColumn" dxfId="465"/>
    </tableStyle>
    <tableStyle name="Tabela de Orçamento de Despesas de Negócios 2" pivot="0" count="5" xr9:uid="{00000000-0011-0000-FFFF-FFFF01000000}">
      <tableStyleElement type="wholeTable" dxfId="464"/>
      <tableStyleElement type="headerRow" dxfId="463"/>
      <tableStyleElement type="totalRow" dxfId="462"/>
      <tableStyleElement type="firstColumn" dxfId="461"/>
      <tableStyleElement type="lastColumn" dxfId="460"/>
    </tableStyle>
    <tableStyle name="Tabela de Orçamento de Despesas de Negócios 3" pivot="0" count="5" xr9:uid="{00000000-0011-0000-FFFF-FFFF02000000}">
      <tableStyleElement type="wholeTable" dxfId="459"/>
      <tableStyleElement type="headerRow" dxfId="458"/>
      <tableStyleElement type="totalRow" dxfId="457"/>
      <tableStyleElement type="firstColumn" dxfId="456"/>
      <tableStyleElement type="lastColumn" dxfId="455"/>
    </tableStyle>
    <tableStyle name="Tabela de Orçamento de Despesas de Negócios 4" pivot="0" count="6" xr9:uid="{00000000-0011-0000-FFFF-FFFF03000000}">
      <tableStyleElement type="wholeTable" dxfId="454"/>
      <tableStyleElement type="headerRow" dxfId="453"/>
      <tableStyleElement type="totalRow" dxfId="452"/>
      <tableStyleElement type="firstColumn" dxfId="451"/>
      <tableStyleElement type="lastColumn" dxfId="450"/>
      <tableStyleElement type="secondRowStripe" dxfId="449"/>
    </tableStyle>
  </tableStyles>
  <colors>
    <mruColors>
      <color rgb="FFBDC3C7"/>
      <color rgb="FFECF0F1"/>
      <color rgb="FF93A5A6"/>
      <color rgb="FF262626"/>
      <color rgb="FFF17B55"/>
      <color rgb="FF32AE60"/>
      <color rgb="FFBCC3C7"/>
      <color rgb="FF820C4D"/>
      <color rgb="FF800080"/>
      <color rgb="FF904D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"/>
                <a:ea typeface=""/>
                <a:cs typeface=""/>
              </a:defRPr>
            </a:pPr>
            <a:r>
              <a:rPr lang="en-US"/>
              <a:t>DESPESAS REAIS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"/>
              <a:ea typeface=""/>
              <a:cs typeface="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4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DF3-409A-87D3-91392B248616}"/>
              </c:ext>
            </c:extLst>
          </c:dPt>
          <c:dPt>
            <c:idx val="1"/>
            <c:bubble3D val="0"/>
            <c:spPr>
              <a:solidFill>
                <a:schemeClr val="accent4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DF3-409A-87D3-91392B248616}"/>
              </c:ext>
            </c:extLst>
          </c:dPt>
          <c:dPt>
            <c:idx val="2"/>
            <c:bubble3D val="0"/>
            <c:spPr>
              <a:solidFill>
                <a:schemeClr val="accent4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DF3-409A-87D3-91392B248616}"/>
              </c:ext>
            </c:extLst>
          </c:dPt>
          <c:dPt>
            <c:idx val="3"/>
            <c:bubble3D val="0"/>
            <c:spPr>
              <a:solidFill>
                <a:schemeClr val="accent4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4DF3-409A-87D3-91392B248616}"/>
              </c:ext>
            </c:extLst>
          </c:dPt>
          <c:dLbls>
            <c:dLbl>
              <c:idx val="0"/>
              <c:layout>
                <c:manualLayout>
                  <c:x val="-3.05028190920579E-2"/>
                  <c:y val="-5.48763940279416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DF3-409A-87D3-91392B248616}"/>
                </c:ext>
              </c:extLst>
            </c:dLbl>
            <c:dLbl>
              <c:idx val="1"/>
              <c:layout>
                <c:manualLayout>
                  <c:x val="1.64633761057646E-2"/>
                  <c:y val="-7.176715592498829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DF3-409A-87D3-91392B248616}"/>
                </c:ext>
              </c:extLst>
            </c:dLbl>
            <c:dLbl>
              <c:idx val="2"/>
              <c:layout>
                <c:manualLayout>
                  <c:x val="3.0817658209390399E-2"/>
                  <c:y val="1.228586760267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DF3-409A-87D3-91392B248616}"/>
                </c:ext>
              </c:extLst>
            </c:dLbl>
            <c:dLbl>
              <c:idx val="3"/>
              <c:layout>
                <c:manualLayout>
                  <c:x val="4.9694169809240026E-2"/>
                  <c:y val="5.558599104688549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1338632384799805"/>
                      <c:h val="0.116477145184358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4DF3-409A-87D3-91392B24861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DE DESPESAS'!$B$5:$B$8</c:f>
              <c:strCache>
                <c:ptCount val="4"/>
                <c:pt idx="0">
                  <c:v>CUSTOS COM FUNCIONÁRIOS</c:v>
                </c:pt>
                <c:pt idx="1">
                  <c:v>CUSTOS DO ESCRITÓRIO</c:v>
                </c:pt>
                <c:pt idx="2">
                  <c:v>CUSTOS DE MARKETING</c:v>
                </c:pt>
                <c:pt idx="3">
                  <c:v>TREINAMENTO/VIAGEM</c:v>
                </c:pt>
              </c:strCache>
            </c:strRef>
          </c:cat>
          <c:val>
            <c:numRef>
              <c:f>'ANÁLISE DE DESPESAS'!$D$5:$D$8</c:f>
              <c:numCache>
                <c:formatCode>"R$"#,##0.00_);[Red]\("R$"#,##0.00\)</c:formatCode>
                <c:ptCount val="4"/>
                <c:pt idx="0">
                  <c:v>659130</c:v>
                </c:pt>
                <c:pt idx="1">
                  <c:v>69350</c:v>
                </c:pt>
                <c:pt idx="2">
                  <c:v>33159</c:v>
                </c:pt>
                <c:pt idx="3">
                  <c:v>21300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DF3-409A-87D3-91392B24861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"/>
              <a:ea typeface=""/>
              <a:cs typeface=""/>
            </a:defRPr>
          </a:pPr>
          <a:endParaRPr lang="pt-BR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75000"/>
                    <a:lumOff val="25000"/>
                  </a:schemeClr>
                </a:solidFill>
                <a:latin typeface="Gill Sans MT"/>
                <a:ea typeface="Gill Sans MT"/>
                <a:cs typeface="Gill Sans MT"/>
              </a:defRPr>
            </a:pPr>
            <a:r>
              <a:rPr lang="en-US"/>
              <a:t>DESPESAS MENSAIS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75000"/>
                  <a:lumOff val="25000"/>
                </a:schemeClr>
              </a:solidFill>
              <a:latin typeface="Gill Sans MT"/>
              <a:ea typeface="Gill Sans MT"/>
              <a:cs typeface="Gill Sans MT"/>
            </a:defRPr>
          </a:pPr>
          <a:endParaRPr lang="pt-BR"/>
        </a:p>
      </c:txPr>
    </c:title>
    <c:autoTitleDeleted val="0"/>
    <c:view3D>
      <c:rotX val="15"/>
      <c:rotY val="2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1"/>
          <c:order val="1"/>
          <c:tx>
            <c:v>Planejado</c:v>
          </c:tx>
          <c:spPr>
            <a:solidFill>
              <a:schemeClr val="accent3"/>
            </a:solidFill>
            <a:ln>
              <a:noFill/>
            </a:ln>
            <a:effectLst/>
            <a:sp3d/>
          </c:spPr>
          <c:invertIfNegative val="0"/>
          <c:val>
            <c:numRef>
              <c:f>'DESPESAS PLANEJADAS'!$C$36:$N$36</c:f>
              <c:numCache>
                <c:formatCode>"R$"#,##0.00_);[Red]\("R$"#,##0.00\)</c:formatCode>
                <c:ptCount val="12"/>
                <c:pt idx="0">
                  <c:v>131420</c:v>
                </c:pt>
                <c:pt idx="1">
                  <c:v>126820</c:v>
                </c:pt>
                <c:pt idx="2">
                  <c:v>126820</c:v>
                </c:pt>
                <c:pt idx="3">
                  <c:v>137695</c:v>
                </c:pt>
                <c:pt idx="4">
                  <c:v>129695</c:v>
                </c:pt>
                <c:pt idx="5">
                  <c:v>130495</c:v>
                </c:pt>
                <c:pt idx="6">
                  <c:v>134695</c:v>
                </c:pt>
                <c:pt idx="7">
                  <c:v>138918</c:v>
                </c:pt>
                <c:pt idx="8">
                  <c:v>135918</c:v>
                </c:pt>
                <c:pt idx="9">
                  <c:v>140918</c:v>
                </c:pt>
                <c:pt idx="10">
                  <c:v>136218</c:v>
                </c:pt>
                <c:pt idx="11">
                  <c:v>140018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D-4DB7-A511-401DE3785DC9}"/>
            </c:ext>
          </c:extLst>
        </c:ser>
        <c:ser>
          <c:idx val="2"/>
          <c:order val="2"/>
          <c:tx>
            <c:v>Reais</c:v>
          </c:tx>
          <c:spPr>
            <a:solidFill>
              <a:schemeClr val="accent3">
                <a:tint val="6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'DESPESAS REAIS'!$C$36:$N$36</c:f>
              <c:numCache>
                <c:formatCode>"R$"#,##0.00_);[Red]\("R$"#,##0.00\)</c:formatCode>
                <c:ptCount val="12"/>
                <c:pt idx="0">
                  <c:v>129682</c:v>
                </c:pt>
                <c:pt idx="1">
                  <c:v>127804</c:v>
                </c:pt>
                <c:pt idx="2">
                  <c:v>125565</c:v>
                </c:pt>
                <c:pt idx="3">
                  <c:v>137394</c:v>
                </c:pt>
                <c:pt idx="4">
                  <c:v>128255</c:v>
                </c:pt>
                <c:pt idx="5">
                  <c:v>134239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5D-4DB7-A511-401DE3785DC9}"/>
            </c:ext>
          </c:extLst>
        </c:ser>
        <c:ser>
          <c:idx val="0"/>
          <c:order val="0"/>
          <c:tx>
            <c:v>Variação</c:v>
          </c:tx>
          <c:spPr>
            <a:solidFill>
              <a:schemeClr val="accent3">
                <a:shade val="65000"/>
              </a:schemeClr>
            </a:solidFill>
            <a:ln>
              <a:noFill/>
            </a:ln>
            <a:effectLst/>
            <a:sp3d/>
          </c:spPr>
          <c:invertIfNegative val="0"/>
          <c:val>
            <c:numRef>
              <c:f>'VARIAÇÕES DE DESPESAS'!$C$36:$N$36</c:f>
              <c:numCache>
                <c:formatCode>"R$"#,##0.00_);[Red]\("R$"#,##0.00\)</c:formatCode>
                <c:ptCount val="12"/>
                <c:pt idx="0">
                  <c:v>1738</c:v>
                </c:pt>
                <c:pt idx="1">
                  <c:v>-984</c:v>
                </c:pt>
                <c:pt idx="2">
                  <c:v>1255</c:v>
                </c:pt>
                <c:pt idx="3">
                  <c:v>301</c:v>
                </c:pt>
                <c:pt idx="4">
                  <c:v>1440</c:v>
                </c:pt>
                <c:pt idx="5">
                  <c:v>-3744</c:v>
                </c:pt>
                <c:pt idx="6">
                  <c:v>134695</c:v>
                </c:pt>
                <c:pt idx="7">
                  <c:v>138918</c:v>
                </c:pt>
                <c:pt idx="8">
                  <c:v>135918</c:v>
                </c:pt>
                <c:pt idx="9">
                  <c:v>140918</c:v>
                </c:pt>
                <c:pt idx="10">
                  <c:v>136218</c:v>
                </c:pt>
                <c:pt idx="11">
                  <c:v>140018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5D-4DB7-A511-401DE3785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shape val="box"/>
        <c:axId val="-628827776"/>
        <c:axId val="-569002320"/>
        <c:axId val="0"/>
      </c:bar3DChart>
      <c:catAx>
        <c:axId val="-6288277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Mês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569002320"/>
        <c:crosses val="autoZero"/>
        <c:auto val="1"/>
        <c:lblAlgn val="ctr"/>
        <c:lblOffset val="100"/>
        <c:noMultiLvlLbl val="0"/>
      </c:catAx>
      <c:valAx>
        <c:axId val="-5690023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2">
                  <a:lumMod val="5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Despesas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pt-BR"/>
            </a:p>
          </c:txPr>
        </c:title>
        <c:numFmt formatCode="&quot;R$&quot;#,##0.00_);[Red]\(&quot;R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-6288277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"/>
              <a:ea typeface=""/>
              <a:cs typeface=""/>
            </a:defRPr>
          </a:pPr>
          <a:endParaRPr lang="pt-BR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>
          <a:solidFill>
            <a:schemeClr val="tx1"/>
          </a:solidFill>
        </a:defRPr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tx1">
                    <a:lumMod val="85000"/>
                    <a:lumOff val="15000"/>
                  </a:schemeClr>
                </a:solidFill>
                <a:latin typeface=""/>
                <a:ea typeface=""/>
                <a:cs typeface=""/>
              </a:defRPr>
            </a:pPr>
            <a:r>
              <a:rPr lang="en-US"/>
              <a:t>DESPESAS PLANEJADAS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tx1">
                  <a:lumMod val="85000"/>
                  <a:lumOff val="15000"/>
                </a:schemeClr>
              </a:solidFill>
              <a:latin typeface=""/>
              <a:ea typeface=""/>
              <a:cs typeface=""/>
            </a:defRPr>
          </a:pPr>
          <a:endParaRPr lang="pt-BR"/>
        </a:p>
      </c:txPr>
    </c:title>
    <c:autoTitleDeleted val="0"/>
    <c:plotArea>
      <c:layout/>
      <c:pieChart>
        <c:varyColors val="1"/>
        <c:ser>
          <c:idx val="0"/>
          <c:order val="0"/>
          <c:explosion val="5"/>
          <c:dPt>
            <c:idx val="0"/>
            <c:bubble3D val="0"/>
            <c:spPr>
              <a:solidFill>
                <a:schemeClr val="accent3">
                  <a:shade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75C-4225-ACC7-D51DAEA0E7C6}"/>
              </c:ext>
            </c:extLst>
          </c:dPt>
          <c:dPt>
            <c:idx val="1"/>
            <c:bubble3D val="0"/>
            <c:spPr>
              <a:solidFill>
                <a:schemeClr val="accent3">
                  <a:shade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75C-4225-ACC7-D51DAEA0E7C6}"/>
              </c:ext>
            </c:extLst>
          </c:dPt>
          <c:dPt>
            <c:idx val="2"/>
            <c:bubble3D val="0"/>
            <c:spPr>
              <a:solidFill>
                <a:schemeClr val="accent3">
                  <a:tint val="86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75C-4225-ACC7-D51DAEA0E7C6}"/>
              </c:ext>
            </c:extLst>
          </c:dPt>
          <c:dPt>
            <c:idx val="3"/>
            <c:bubble3D val="0"/>
            <c:spPr>
              <a:solidFill>
                <a:schemeClr val="accent3">
                  <a:tint val="58000"/>
                </a:schemeClr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75C-4225-ACC7-D51DAEA0E7C6}"/>
              </c:ext>
            </c:extLst>
          </c:dPt>
          <c:dLbls>
            <c:dLbl>
              <c:idx val="0"/>
              <c:layout>
                <c:manualLayout>
                  <c:x val="-3.4028377385723702E-2"/>
                  <c:y val="-6.2875096529873701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C-4225-ACC7-D51DAEA0E7C6}"/>
                </c:ext>
              </c:extLst>
            </c:dLbl>
            <c:dLbl>
              <c:idx val="1"/>
              <c:layout>
                <c:manualLayout>
                  <c:x val="-7.7064834980853806E-5"/>
                  <c:y val="-3.1876737570955903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C-4225-ACC7-D51DAEA0E7C6}"/>
                </c:ext>
              </c:extLst>
            </c:dLbl>
            <c:dLbl>
              <c:idx val="2"/>
              <c:layout>
                <c:manualLayout>
                  <c:x val="-4.8135881541812196E-3"/>
                  <c:y val="-4.9374880127388797E-3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5C-4225-ACC7-D51DAEA0E7C6}"/>
                </c:ext>
              </c:extLst>
            </c:dLbl>
            <c:dLbl>
              <c:idx val="3"/>
              <c:layout>
                <c:manualLayout>
                  <c:x val="2.5350261652291553E-2"/>
                  <c:y val="1.6790282853119662E-2"/>
                </c:manualLayout>
              </c:layout>
              <c:spPr>
                <a:solidFill>
                  <a:schemeClr val="bg1">
                    <a:lumMod val="95000"/>
                  </a:schemeClr>
                </a:solidFill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baseline="0">
                      <a:solidFill>
                        <a:srgbClr val="262626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pt-BR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702563264817419"/>
                      <c:h val="0.1158872501265585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75C-4225-ACC7-D51DAEA0E7C6}"/>
                </c:ext>
              </c:extLst>
            </c:dLbl>
            <c:spPr>
              <a:solidFill>
                <a:schemeClr val="bg1">
                  <a:lumMod val="95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'ANÁLISE DE DESPESAS'!$B$5:$B$8</c:f>
              <c:strCache>
                <c:ptCount val="4"/>
                <c:pt idx="0">
                  <c:v>CUSTOS COM FUNCIONÁRIOS</c:v>
                </c:pt>
                <c:pt idx="1">
                  <c:v>CUSTOS DO ESCRITÓRIO</c:v>
                </c:pt>
                <c:pt idx="2">
                  <c:v>CUSTOS DE MARKETING</c:v>
                </c:pt>
                <c:pt idx="3">
                  <c:v>TREINAMENTO/VIAGEM</c:v>
                </c:pt>
              </c:strCache>
            </c:strRef>
          </c:cat>
          <c:val>
            <c:numRef>
              <c:f>'ANÁLISE DE DESPESAS'!$C$5:$C$8</c:f>
              <c:numCache>
                <c:formatCode>"R$"#,##0.00_);[Red]\("R$"#,##0.00\)</c:formatCode>
                <c:ptCount val="4"/>
                <c:pt idx="0">
                  <c:v>1355090</c:v>
                </c:pt>
                <c:pt idx="1">
                  <c:v>138740</c:v>
                </c:pt>
                <c:pt idx="2">
                  <c:v>67800</c:v>
                </c:pt>
                <c:pt idx="3">
                  <c:v>48000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75C-4225-ACC7-D51DAEA0E7C6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10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"/>
              <a:ea typeface=""/>
              <a:cs typeface=""/>
            </a:defRPr>
          </a:pPr>
          <a:endParaRPr lang="pt-BR"/>
        </a:p>
      </c:txPr>
    </c:legend>
    <c:plotVisOnly val="1"/>
    <c:dispBlanksAs val="gap"/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bg1">
          <a:lumMod val="6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7">
  <a:schemeClr val="accent4"/>
</cs:colorStyle>
</file>

<file path=xl/charts/colors2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colors3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image" Target="../media/image2.png"/><Relationship Id="rId4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0</xdr:colOff>
      <xdr:row>5</xdr:row>
      <xdr:rowOff>25400</xdr:rowOff>
    </xdr:from>
    <xdr:to>
      <xdr:col>18</xdr:col>
      <xdr:colOff>487807</xdr:colOff>
      <xdr:row>16</xdr:row>
      <xdr:rowOff>405279</xdr:rowOff>
    </xdr:to>
    <xdr:sp macro="" textlink="">
      <xdr:nvSpPr>
        <xdr:cNvPr id="3" name="Balão de fala: retângulo 2" descr="Tip: HOW TO USE THIS TEMPLATE&#10;Input data in the white cells on the PLANNED EXPENSES and ACTUAL EXPENSES worksheets, and the EXPENSE VARIANCES and EXPENSE ANALYSIS will be calculated for you.  If you add a row on one sheet, the other sheets need to match&#10;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20345400" y="2959100"/>
          <a:ext cx="1668907" cy="5094754"/>
        </a:xfrm>
        <a:prstGeom prst="wedgeRectCallout">
          <a:avLst>
            <a:gd name="adj1" fmla="val -65157"/>
            <a:gd name="adj2" fmla="val -20833"/>
          </a:avLst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82880" tIns="182880" rIns="182880" bIns="182880" rtlCol="0" anchor="t"/>
        <a:lstStyle/>
        <a:p>
          <a:pPr rtl="0"/>
          <a:endParaRPr lang="en-US" sz="1100" b="1">
            <a:solidFill>
              <a:sysClr val="windowText" lastClr="000000"/>
            </a:solidFill>
            <a:effectLst/>
            <a:latin typeface="Gill Sans MT" panose="020B0502020104020203" pitchFamily="34" charset="0"/>
            <a:ea typeface="+mn-ea"/>
            <a:cs typeface="+mn-cs"/>
          </a:endParaRPr>
        </a:p>
        <a:p>
          <a:pPr algn="ctr" rtl="0"/>
          <a:r>
            <a:rPr lang="pt-br" sz="1100" b="1">
              <a:solidFill>
                <a:sysClr val="windowText" lastClr="000000"/>
              </a:solidFill>
              <a:effectLst/>
              <a:latin typeface="Gill Sans MT" panose="020B0502020104020203" pitchFamily="34" charset="0"/>
              <a:ea typeface="+mn-ea"/>
              <a:cs typeface="+mn-cs"/>
            </a:rPr>
            <a:t>COMO USAR ESTE MODELO</a:t>
          </a:r>
        </a:p>
        <a:p>
          <a:pPr algn="ctr" rtl="0"/>
          <a:endParaRPr lang="en-US">
            <a:solidFill>
              <a:sysClr val="windowText" lastClr="000000"/>
            </a:solidFill>
            <a:effectLst/>
            <a:latin typeface="Gill Sans MT" panose="020B0502020104020203" pitchFamily="34" charset="0"/>
          </a:endParaRPr>
        </a:p>
        <a:p>
          <a:pPr algn="ctr" rtl="0">
            <a:lnSpc>
              <a:spcPct val="150000"/>
            </a:lnSpc>
          </a:pPr>
          <a:r>
            <a:rPr lang="pt-br" sz="1100">
              <a:solidFill>
                <a:sysClr val="windowText" lastClr="000000"/>
              </a:solidFill>
              <a:effectLst/>
              <a:latin typeface="Gill Sans MT" panose="020B0502020104020203" pitchFamily="34" charset="0"/>
              <a:ea typeface="+mn-ea"/>
              <a:cs typeface="+mn-cs"/>
            </a:rPr>
            <a:t>Insira os dados nas células em branco das planilhas DESPESAS PLANEJADAS e DESPESAS REAIS e as VARIAÇÕES DE DESPESAS e ANÁLISES DE DESPESAS serão calculadas para você.  Caso você adicione uma linha em uma planilha, </a:t>
          </a:r>
          <a:r>
            <a:rPr lang="pt-br" sz="1100" baseline="0">
              <a:solidFill>
                <a:sysClr val="windowText" lastClr="000000"/>
              </a:solidFill>
              <a:effectLst/>
              <a:latin typeface="Gill Sans MT" panose="020B0502020104020203" pitchFamily="34" charset="0"/>
              <a:ea typeface="+mn-ea"/>
              <a:cs typeface="+mn-cs"/>
            </a:rPr>
            <a:t>precisa haver correspondência com as outras planilhas.</a:t>
          </a:r>
          <a:endParaRPr lang="en-US" sz="1100">
            <a:solidFill>
              <a:sysClr val="windowText" lastClr="000000"/>
            </a:solidFill>
            <a:latin typeface="Gill Sans MT" panose="020B0502020104020203" pitchFamily="34" charset="0"/>
          </a:endParaRPr>
        </a:p>
      </xdr:txBody>
    </xdr:sp>
    <xdr:clientData fPrintsWithSheet="0"/>
  </xdr:twoCellAnchor>
  <xdr:twoCellAnchor>
    <xdr:from>
      <xdr:col>2</xdr:col>
      <xdr:colOff>2239</xdr:colOff>
      <xdr:row>2</xdr:row>
      <xdr:rowOff>31377</xdr:rowOff>
    </xdr:from>
    <xdr:to>
      <xdr:col>7</xdr:col>
      <xdr:colOff>228299</xdr:colOff>
      <xdr:row>2</xdr:row>
      <xdr:rowOff>386977</xdr:rowOff>
    </xdr:to>
    <xdr:sp macro="" textlink="">
      <xdr:nvSpPr>
        <xdr:cNvPr id="1039" name="Caixa de texto 15">
          <a:extLst>
            <a:ext uri="{FF2B5EF4-FFF2-40B4-BE49-F238E27FC236}">
              <a16:creationId xmlns:a16="http://schemas.microsoft.com/office/drawing/2014/main" id="{00000000-0008-0000-0100-00000F040000}"/>
            </a:ext>
          </a:extLst>
        </xdr:cNvPr>
        <xdr:cNvSpPr txBox="1">
          <a:spLocks noChangeArrowheads="1"/>
        </xdr:cNvSpPr>
      </xdr:nvSpPr>
      <xdr:spPr bwMode="auto">
        <a:xfrm>
          <a:off x="2893357" y="905436"/>
          <a:ext cx="4260177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1500" b="1" i="0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Estimativas detalhadas de gastos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228299</xdr:colOff>
      <xdr:row>2</xdr:row>
      <xdr:rowOff>666377</xdr:rowOff>
    </xdr:to>
    <xdr:sp macro="" textlink="">
      <xdr:nvSpPr>
        <xdr:cNvPr id="11" name="Caixa de texto 15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>
          <a:spLocks noChangeArrowheads="1"/>
        </xdr:cNvSpPr>
      </xdr:nvSpPr>
      <xdr:spPr bwMode="auto">
        <a:xfrm>
          <a:off x="2893357" y="1184836"/>
          <a:ext cx="4260177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1500" b="0" i="1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Células sombreadas são cálculos</a:t>
          </a:r>
        </a:p>
      </xdr:txBody>
    </xdr:sp>
    <xdr:clientData/>
  </xdr:twoCellAnchor>
  <xdr:twoCellAnchor editAs="oneCell">
    <xdr:from>
      <xdr:col>8</xdr:col>
      <xdr:colOff>949512</xdr:colOff>
      <xdr:row>0</xdr:row>
      <xdr:rowOff>0</xdr:rowOff>
    </xdr:from>
    <xdr:to>
      <xdr:col>14</xdr:col>
      <xdr:colOff>47625</xdr:colOff>
      <xdr:row>3</xdr:row>
      <xdr:rowOff>0</xdr:rowOff>
    </xdr:to>
    <xdr:pic>
      <xdr:nvPicPr>
        <xdr:cNvPr id="5" name="Imagem 4" descr="imagem de gráficos de barras 3d, um gráfico de linha, um gráfico de pizza e uma lupa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22865" y="0"/>
          <a:ext cx="5796429" cy="1871382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8</xdr:col>
      <xdr:colOff>451819</xdr:colOff>
      <xdr:row>2</xdr:row>
      <xdr:rowOff>120277</xdr:rowOff>
    </xdr:to>
    <xdr:sp macro="" textlink="">
      <xdr:nvSpPr>
        <xdr:cNvPr id="1038" name="Caixa de texto 14">
          <a:extLst>
            <a:ext uri="{FF2B5EF4-FFF2-40B4-BE49-F238E27FC236}">
              <a16:creationId xmlns:a16="http://schemas.microsoft.com/office/drawing/2014/main" id="{00000000-0008-0000-0100-00000E040000}"/>
            </a:ext>
          </a:extLst>
        </xdr:cNvPr>
        <xdr:cNvSpPr txBox="1">
          <a:spLocks noChangeArrowheads="1"/>
        </xdr:cNvSpPr>
      </xdr:nvSpPr>
      <xdr:spPr bwMode="auto">
        <a:xfrm>
          <a:off x="2893357" y="270436"/>
          <a:ext cx="5290521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4500" b="1" i="0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NOME DA EMPRESA</a:t>
          </a:r>
        </a:p>
      </xdr:txBody>
    </xdr:sp>
    <xdr:clientData/>
  </xdr:twoCellAnchor>
  <xdr:twoCellAnchor>
    <xdr:from>
      <xdr:col>1</xdr:col>
      <xdr:colOff>457200</xdr:colOff>
      <xdr:row>1</xdr:row>
      <xdr:rowOff>360005</xdr:rowOff>
    </xdr:from>
    <xdr:to>
      <xdr:col>1</xdr:col>
      <xdr:colOff>2037716</xdr:colOff>
      <xdr:row>2</xdr:row>
      <xdr:rowOff>333804</xdr:rowOff>
    </xdr:to>
    <xdr:pic>
      <xdr:nvPicPr>
        <xdr:cNvPr id="8" name="Imagem 7" descr="Espaço reservado para logotipo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8175" y="664805"/>
          <a:ext cx="1580516" cy="545299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2239</xdr:colOff>
      <xdr:row>2</xdr:row>
      <xdr:rowOff>31377</xdr:rowOff>
    </xdr:from>
    <xdr:to>
      <xdr:col>7</xdr:col>
      <xdr:colOff>228299</xdr:colOff>
      <xdr:row>2</xdr:row>
      <xdr:rowOff>386977</xdr:rowOff>
    </xdr:to>
    <xdr:sp macro="" textlink="">
      <xdr:nvSpPr>
        <xdr:cNvPr id="21" name="Caixa de texto 15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SpPr txBox="1">
          <a:spLocks noChangeArrowheads="1"/>
        </xdr:cNvSpPr>
      </xdr:nvSpPr>
      <xdr:spPr bwMode="auto">
        <a:xfrm>
          <a:off x="2888314" y="9076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1500" b="1" i="0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Estimativas detalhadas de gastos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228299</xdr:colOff>
      <xdr:row>2</xdr:row>
      <xdr:rowOff>666377</xdr:rowOff>
    </xdr:to>
    <xdr:sp macro="" textlink="">
      <xdr:nvSpPr>
        <xdr:cNvPr id="22" name="Caixa de texto 15">
          <a:extLst>
            <a:ext uri="{FF2B5EF4-FFF2-40B4-BE49-F238E27FC236}">
              <a16:creationId xmlns:a16="http://schemas.microsoft.com/office/drawing/2014/main" id="{00000000-0008-0000-0200-000016000000}"/>
            </a:ext>
          </a:extLst>
        </xdr:cNvPr>
        <xdr:cNvSpPr txBox="1">
          <a:spLocks noChangeArrowheads="1"/>
        </xdr:cNvSpPr>
      </xdr:nvSpPr>
      <xdr:spPr bwMode="auto">
        <a:xfrm>
          <a:off x="2888314" y="11870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1500" b="0" i="1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Células sombreadas são cálculos</a:t>
          </a:r>
        </a:p>
      </xdr:txBody>
    </xdr:sp>
    <xdr:clientData/>
  </xdr:twoCellAnchor>
  <xdr:twoCellAnchor editAs="oneCell">
    <xdr:from>
      <xdr:col>8</xdr:col>
      <xdr:colOff>949512</xdr:colOff>
      <xdr:row>0</xdr:row>
      <xdr:rowOff>0</xdr:rowOff>
    </xdr:from>
    <xdr:to>
      <xdr:col>14</xdr:col>
      <xdr:colOff>47625</xdr:colOff>
      <xdr:row>3</xdr:row>
      <xdr:rowOff>0</xdr:rowOff>
    </xdr:to>
    <xdr:pic>
      <xdr:nvPicPr>
        <xdr:cNvPr id="23" name="Imagem 22" descr="imagem de gráficos de barras 3d, um gráfico de linha, um gráfico de pizza e uma lupa">
          <a:extLst>
            <a:ext uri="{FF2B5EF4-FFF2-40B4-BE49-F238E27FC236}">
              <a16:creationId xmlns:a16="http://schemas.microsoft.com/office/drawing/2014/main" id="{00000000-0008-0000-0200-00001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7737" y="0"/>
          <a:ext cx="5784663" cy="1876425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8</xdr:col>
      <xdr:colOff>451819</xdr:colOff>
      <xdr:row>2</xdr:row>
      <xdr:rowOff>120277</xdr:rowOff>
    </xdr:to>
    <xdr:sp macro="" textlink="">
      <xdr:nvSpPr>
        <xdr:cNvPr id="24" name="Caixa de texto 14">
          <a:extLst>
            <a:ext uri="{FF2B5EF4-FFF2-40B4-BE49-F238E27FC236}">
              <a16:creationId xmlns:a16="http://schemas.microsoft.com/office/drawing/2014/main" id="{00000000-0008-0000-0200-000018000000}"/>
            </a:ext>
          </a:extLst>
        </xdr:cNvPr>
        <xdr:cNvSpPr txBox="1">
          <a:spLocks noChangeArrowheads="1"/>
        </xdr:cNvSpPr>
      </xdr:nvSpPr>
      <xdr:spPr bwMode="auto">
        <a:xfrm>
          <a:off x="2888314" y="270436"/>
          <a:ext cx="6221730" cy="726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4500" b="1" i="0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NOME DA EMPRESA</a:t>
          </a:r>
        </a:p>
      </xdr:txBody>
    </xdr:sp>
    <xdr:clientData/>
  </xdr:twoCellAnchor>
  <xdr:twoCellAnchor>
    <xdr:from>
      <xdr:col>1</xdr:col>
      <xdr:colOff>457200</xdr:colOff>
      <xdr:row>1</xdr:row>
      <xdr:rowOff>360005</xdr:rowOff>
    </xdr:from>
    <xdr:to>
      <xdr:col>1</xdr:col>
      <xdr:colOff>2037716</xdr:colOff>
      <xdr:row>2</xdr:row>
      <xdr:rowOff>333804</xdr:rowOff>
    </xdr:to>
    <xdr:pic>
      <xdr:nvPicPr>
        <xdr:cNvPr id="25" name="Imagem 24" descr="Espaço reservado para logotipo">
          <a:extLst>
            <a:ext uri="{FF2B5EF4-FFF2-40B4-BE49-F238E27FC236}">
              <a16:creationId xmlns:a16="http://schemas.microsoft.com/office/drawing/2014/main" id="{00000000-0008-0000-0200-00001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8175" y="664805"/>
          <a:ext cx="1580516" cy="545299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2239</xdr:colOff>
      <xdr:row>2</xdr:row>
      <xdr:rowOff>31377</xdr:rowOff>
    </xdr:from>
    <xdr:to>
      <xdr:col>7</xdr:col>
      <xdr:colOff>228299</xdr:colOff>
      <xdr:row>2</xdr:row>
      <xdr:rowOff>386977</xdr:rowOff>
    </xdr:to>
    <xdr:sp macro="" textlink="">
      <xdr:nvSpPr>
        <xdr:cNvPr id="7" name="Caixa de texto 15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888314" y="9076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1500" b="1" i="0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Estimativas detalhadas de gastos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228299</xdr:colOff>
      <xdr:row>2</xdr:row>
      <xdr:rowOff>666377</xdr:rowOff>
    </xdr:to>
    <xdr:sp macro="" textlink="">
      <xdr:nvSpPr>
        <xdr:cNvPr id="8" name="Caixa de texto 15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2888314" y="11870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1500" b="0" i="1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Células sombreadas são cálculos</a:t>
          </a:r>
        </a:p>
      </xdr:txBody>
    </xdr:sp>
    <xdr:clientData/>
  </xdr:twoCellAnchor>
  <xdr:twoCellAnchor editAs="oneCell">
    <xdr:from>
      <xdr:col>8</xdr:col>
      <xdr:colOff>949512</xdr:colOff>
      <xdr:row>0</xdr:row>
      <xdr:rowOff>0</xdr:rowOff>
    </xdr:from>
    <xdr:to>
      <xdr:col>14</xdr:col>
      <xdr:colOff>62193</xdr:colOff>
      <xdr:row>3</xdr:row>
      <xdr:rowOff>0</xdr:rowOff>
    </xdr:to>
    <xdr:pic>
      <xdr:nvPicPr>
        <xdr:cNvPr id="9" name="Imagem 8" descr="imagem de gráficos de barras 3d, um gráfico de linha, um gráfico de pizza e uma lupa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607737" y="0"/>
          <a:ext cx="5784663" cy="1876425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8</xdr:col>
      <xdr:colOff>451819</xdr:colOff>
      <xdr:row>2</xdr:row>
      <xdr:rowOff>120277</xdr:rowOff>
    </xdr:to>
    <xdr:sp macro="" textlink="">
      <xdr:nvSpPr>
        <xdr:cNvPr id="10" name="Caixa de texto 14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2888314" y="270436"/>
          <a:ext cx="6221730" cy="72614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4500" b="1" i="0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NOME DA EMPRESA</a:t>
          </a:r>
        </a:p>
      </xdr:txBody>
    </xdr:sp>
    <xdr:clientData/>
  </xdr:twoCellAnchor>
  <xdr:twoCellAnchor>
    <xdr:from>
      <xdr:col>1</xdr:col>
      <xdr:colOff>457200</xdr:colOff>
      <xdr:row>1</xdr:row>
      <xdr:rowOff>360005</xdr:rowOff>
    </xdr:from>
    <xdr:to>
      <xdr:col>1</xdr:col>
      <xdr:colOff>2037716</xdr:colOff>
      <xdr:row>2</xdr:row>
      <xdr:rowOff>333804</xdr:rowOff>
    </xdr:to>
    <xdr:pic>
      <xdr:nvPicPr>
        <xdr:cNvPr id="16" name="Imagem 15" descr="Espaço reservado para logotipo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8175" y="664805"/>
          <a:ext cx="1580516" cy="545299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1435100</xdr:colOff>
      <xdr:row>9</xdr:row>
      <xdr:rowOff>203200</xdr:rowOff>
    </xdr:from>
    <xdr:to>
      <xdr:col>5</xdr:col>
      <xdr:colOff>1927412</xdr:colOff>
      <xdr:row>10</xdr:row>
      <xdr:rowOff>3669031</xdr:rowOff>
    </xdr:to>
    <xdr:graphicFrame macro="">
      <xdr:nvGraphicFramePr>
        <xdr:cNvPr id="13" name="ActualExpensesChart" descr="Gráfico de pizza mostrando as despesas reais incorridas em várias categorias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279400</xdr:colOff>
      <xdr:row>11</xdr:row>
      <xdr:rowOff>63501</xdr:rowOff>
    </xdr:from>
    <xdr:to>
      <xdr:col>5</xdr:col>
      <xdr:colOff>1608045</xdr:colOff>
      <xdr:row>32</xdr:row>
      <xdr:rowOff>170880</xdr:rowOff>
    </xdr:to>
    <xdr:graphicFrame macro="">
      <xdr:nvGraphicFramePr>
        <xdr:cNvPr id="8" name="GráficoDeDespesasMensais" descr="Gráfico mostrando Planejado, Real e Variação em Despesas Mensais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292100</xdr:colOff>
      <xdr:row>9</xdr:row>
      <xdr:rowOff>203200</xdr:rowOff>
    </xdr:from>
    <xdr:to>
      <xdr:col>3</xdr:col>
      <xdr:colOff>983316</xdr:colOff>
      <xdr:row>10</xdr:row>
      <xdr:rowOff>3688079</xdr:rowOff>
    </xdr:to>
    <xdr:graphicFrame macro="">
      <xdr:nvGraphicFramePr>
        <xdr:cNvPr id="12" name="PlannedExpensesChart" descr="Gráfico de pizza mostrando as despesas planejadas em várias categorias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2239</xdr:colOff>
      <xdr:row>2</xdr:row>
      <xdr:rowOff>31377</xdr:rowOff>
    </xdr:from>
    <xdr:to>
      <xdr:col>7</xdr:col>
      <xdr:colOff>0</xdr:colOff>
      <xdr:row>2</xdr:row>
      <xdr:rowOff>386977</xdr:rowOff>
    </xdr:to>
    <xdr:sp macro="" textlink="">
      <xdr:nvSpPr>
        <xdr:cNvPr id="10" name="Caixa de texto 15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888314" y="9076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1500" b="1" i="0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Estimativas detalhadas de gastos</a:t>
          </a:r>
        </a:p>
      </xdr:txBody>
    </xdr:sp>
    <xdr:clientData/>
  </xdr:twoCellAnchor>
  <xdr:twoCellAnchor>
    <xdr:from>
      <xdr:col>2</xdr:col>
      <xdr:colOff>2239</xdr:colOff>
      <xdr:row>2</xdr:row>
      <xdr:rowOff>310777</xdr:rowOff>
    </xdr:from>
    <xdr:to>
      <xdr:col>7</xdr:col>
      <xdr:colOff>0</xdr:colOff>
      <xdr:row>2</xdr:row>
      <xdr:rowOff>666377</xdr:rowOff>
    </xdr:to>
    <xdr:sp macro="" textlink="">
      <xdr:nvSpPr>
        <xdr:cNvPr id="17" name="Caixa de texto 15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888314" y="1187077"/>
          <a:ext cx="5036185" cy="355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1500" b="0" i="1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Células sombreadas são cálculos</a:t>
          </a:r>
        </a:p>
      </xdr:txBody>
    </xdr:sp>
    <xdr:clientData/>
  </xdr:twoCellAnchor>
  <xdr:twoCellAnchor editAs="oneCell">
    <xdr:from>
      <xdr:col>4</xdr:col>
      <xdr:colOff>609413</xdr:colOff>
      <xdr:row>0</xdr:row>
      <xdr:rowOff>0</xdr:rowOff>
    </xdr:from>
    <xdr:to>
      <xdr:col>5</xdr:col>
      <xdr:colOff>3032312</xdr:colOff>
      <xdr:row>3</xdr:row>
      <xdr:rowOff>0</xdr:rowOff>
    </xdr:to>
    <xdr:pic>
      <xdr:nvPicPr>
        <xdr:cNvPr id="19" name="Imagem 18" descr="imagem de gráficos de barras 3d, um gráfico de linha, um gráfico de pizza e uma lupa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0258238" y="0"/>
          <a:ext cx="5794749" cy="1876425"/>
        </a:xfrm>
        <a:prstGeom prst="rect">
          <a:avLst/>
        </a:prstGeom>
      </xdr:spPr>
    </xdr:pic>
    <xdr:clientData/>
  </xdr:twoCellAnchor>
  <xdr:twoCellAnchor>
    <xdr:from>
      <xdr:col>2</xdr:col>
      <xdr:colOff>2239</xdr:colOff>
      <xdr:row>0</xdr:row>
      <xdr:rowOff>270436</xdr:rowOff>
    </xdr:from>
    <xdr:to>
      <xdr:col>6</xdr:col>
      <xdr:colOff>0</xdr:colOff>
      <xdr:row>2</xdr:row>
      <xdr:rowOff>120277</xdr:rowOff>
    </xdr:to>
    <xdr:sp macro="" textlink="">
      <xdr:nvSpPr>
        <xdr:cNvPr id="20" name="Caixa de texto 14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3050239" y="270436"/>
          <a:ext cx="11562232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rtlCol="0" anchor="ctr" upright="1"/>
        <a:lstStyle/>
        <a:p>
          <a:pPr algn="l" rtl="0">
            <a:defRPr sz="1000"/>
          </a:pPr>
          <a:r>
            <a:rPr lang="pt-br" sz="4500" b="1" i="0" u="none" strike="noStrike" baseline="0">
              <a:solidFill>
                <a:srgbClr val="262626"/>
              </a:solidFill>
              <a:latin typeface="Gill Sans MT" panose="020B0502020104020203" pitchFamily="34" charset="0"/>
              <a:ea typeface="Arial" charset="0"/>
              <a:cs typeface="Arial" charset="0"/>
            </a:rPr>
            <a:t>NOME DA EMPRESA</a:t>
          </a:r>
        </a:p>
      </xdr:txBody>
    </xdr:sp>
    <xdr:clientData/>
  </xdr:twoCellAnchor>
  <xdr:twoCellAnchor>
    <xdr:from>
      <xdr:col>1</xdr:col>
      <xdr:colOff>457200</xdr:colOff>
      <xdr:row>1</xdr:row>
      <xdr:rowOff>360005</xdr:rowOff>
    </xdr:from>
    <xdr:to>
      <xdr:col>1</xdr:col>
      <xdr:colOff>2037716</xdr:colOff>
      <xdr:row>2</xdr:row>
      <xdr:rowOff>333804</xdr:rowOff>
    </xdr:to>
    <xdr:pic>
      <xdr:nvPicPr>
        <xdr:cNvPr id="21" name="Imagem 20" descr="Espaço reservado para logotipo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38175" y="664805"/>
          <a:ext cx="1580516" cy="545299"/>
        </a:xfrm>
        <a:prstGeom prst="rect">
          <a:avLst/>
        </a:prstGeom>
        <a:solidFill>
          <a:schemeClr val="tx1"/>
        </a:solidFill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nejamentoDoEscritório" displayName="PlanejamentoDoEscritório" ref="B10:O19" totalsRowCount="1" headerRowDxfId="448" dataDxfId="446" totalsRowDxfId="444" headerRowBorderDxfId="447" tableBorderDxfId="445">
  <autoFilter ref="B10:O18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000-000001000000}" name="CUSTOS DO ESCRITÓRIO" totalsRowLabel="Subtotal" dataDxfId="443" totalsRowDxfId="442"/>
    <tableColumn id="2" xr3:uid="{00000000-0010-0000-0000-000002000000}" name="Jan" totalsRowFunction="sum" dataDxfId="441" totalsRowDxfId="440"/>
    <tableColumn id="3" xr3:uid="{00000000-0010-0000-0000-000003000000}" name="Fev" totalsRowFunction="sum" dataDxfId="439" totalsRowDxfId="438"/>
    <tableColumn id="4" xr3:uid="{00000000-0010-0000-0000-000004000000}" name="Mar" totalsRowFunction="sum" dataDxfId="437" totalsRowDxfId="436"/>
    <tableColumn id="5" xr3:uid="{00000000-0010-0000-0000-000005000000}" name="Abr" totalsRowFunction="sum" dataDxfId="435" totalsRowDxfId="434"/>
    <tableColumn id="6" xr3:uid="{00000000-0010-0000-0000-000006000000}" name="Mai" totalsRowFunction="sum" dataDxfId="433" totalsRowDxfId="432"/>
    <tableColumn id="7" xr3:uid="{00000000-0010-0000-0000-000007000000}" name="Jun" totalsRowFunction="sum" dataDxfId="431" totalsRowDxfId="430"/>
    <tableColumn id="8" xr3:uid="{00000000-0010-0000-0000-000008000000}" name="Jul" totalsRowFunction="sum" dataDxfId="429" totalsRowDxfId="428"/>
    <tableColumn id="9" xr3:uid="{00000000-0010-0000-0000-000009000000}" name="Ago" totalsRowFunction="sum" dataDxfId="427" totalsRowDxfId="426"/>
    <tableColumn id="10" xr3:uid="{00000000-0010-0000-0000-00000A000000}" name="Set" totalsRowFunction="sum" dataDxfId="425" totalsRowDxfId="424"/>
    <tableColumn id="11" xr3:uid="{00000000-0010-0000-0000-00000B000000}" name="Out" totalsRowFunction="sum" dataDxfId="423" totalsRowDxfId="422"/>
    <tableColumn id="12" xr3:uid="{00000000-0010-0000-0000-00000C000000}" name="Nov" totalsRowFunction="sum" dataDxfId="421" totalsRowDxfId="420"/>
    <tableColumn id="13" xr3:uid="{00000000-0010-0000-0000-00000D000000}" name="Dez" totalsRowFunction="sum" dataDxfId="419" totalsRowDxfId="418"/>
    <tableColumn id="14" xr3:uid="{00000000-0010-0000-0000-00000E000000}" name="ANO" totalsRowFunction="sum" dataDxfId="417" totalsRowDxfId="416">
      <calculatedColumnFormula>SUM(C11:N11)</calculatedColumnFormula>
    </tableColumn>
  </tableColumns>
  <tableStyleInfo name="Tabela de Orçamento de Despesas de Negócios 1" showFirstColumn="1" showLastColumn="1" showRowStripes="0" showColumnStripes="0"/>
  <extLst>
    <ext xmlns:x14="http://schemas.microsoft.com/office/spreadsheetml/2009/9/main" uri="{504A1905-F514-4f6f-8877-14C23A59335A}">
      <x14:table altTextSummary="Insira os custos mensais planejados para o escritório nesta tabela. O total é calculado automaticamente no final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9000000}" name="TotalReal" displayName="TotalReal" ref="B35:O37" headerRowDxfId="168" dataDxfId="166" headerRowBorderDxfId="167">
  <autoFilter ref="B35:O37" xr:uid="{00000000-0009-0000-0100-00000F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900-000001000000}" name="DESPESAS REAIS TOTAIS" totalsRowLabel="Total" dataDxfId="165" totalsRowDxfId="164"/>
    <tableColumn id="2" xr3:uid="{00000000-0010-0000-0900-000002000000}" name="Jan" dataDxfId="163" totalsRowDxfId="162">
      <calculatedColumnFormula>SUM($C35:C$36)</calculatedColumnFormula>
    </tableColumn>
    <tableColumn id="3" xr3:uid="{00000000-0010-0000-0900-000003000000}" name="Fev" dataDxfId="161" totalsRowDxfId="160">
      <calculatedColumnFormula>SUM($C35:D$36)</calculatedColumnFormula>
    </tableColumn>
    <tableColumn id="4" xr3:uid="{00000000-0010-0000-0900-000004000000}" name="Mar" dataDxfId="159" totalsRowDxfId="158">
      <calculatedColumnFormula>SUM($C35:E$36)</calculatedColumnFormula>
    </tableColumn>
    <tableColumn id="5" xr3:uid="{00000000-0010-0000-0900-000005000000}" name="Abr" dataDxfId="157" totalsRowDxfId="156">
      <calculatedColumnFormula>SUM($C35:F$36)</calculatedColumnFormula>
    </tableColumn>
    <tableColumn id="6" xr3:uid="{00000000-0010-0000-0900-000006000000}" name="Mai" dataDxfId="155" totalsRowDxfId="154">
      <calculatedColumnFormula>SUM($C35:G$36)</calculatedColumnFormula>
    </tableColumn>
    <tableColumn id="7" xr3:uid="{00000000-0010-0000-0900-000007000000}" name="Jun" dataDxfId="153" totalsRowDxfId="152">
      <calculatedColumnFormula>SUM($C35:H$36)</calculatedColumnFormula>
    </tableColumn>
    <tableColumn id="8" xr3:uid="{00000000-0010-0000-0900-000008000000}" name="Jul" dataDxfId="151" totalsRowDxfId="150">
      <calculatedColumnFormula>SUM($C35:I$36)</calculatedColumnFormula>
    </tableColumn>
    <tableColumn id="9" xr3:uid="{00000000-0010-0000-0900-000009000000}" name="Ago" dataDxfId="149" totalsRowDxfId="148">
      <calculatedColumnFormula>SUM($C35:J$36)</calculatedColumnFormula>
    </tableColumn>
    <tableColumn id="10" xr3:uid="{00000000-0010-0000-0900-00000A000000}" name="Set" dataDxfId="147" totalsRowDxfId="146">
      <calculatedColumnFormula>SUM($C35:K$36)</calculatedColumnFormula>
    </tableColumn>
    <tableColumn id="11" xr3:uid="{00000000-0010-0000-0900-00000B000000}" name="Out" dataDxfId="145" totalsRowDxfId="144">
      <calculatedColumnFormula>SUM($C35:L$36)</calculatedColumnFormula>
    </tableColumn>
    <tableColumn id="12" xr3:uid="{00000000-0010-0000-0900-00000C000000}" name="Nov" dataDxfId="143" totalsRowDxfId="142">
      <calculatedColumnFormula>SUM($C35:M$36)</calculatedColumnFormula>
    </tableColumn>
    <tableColumn id="13" xr3:uid="{00000000-0010-0000-0900-00000D000000}" name="Dez" dataDxfId="141" totalsRowDxfId="140">
      <calculatedColumnFormula>SUM($C35:N$36)</calculatedColumnFormula>
    </tableColumn>
    <tableColumn id="14" xr3:uid="{00000000-0010-0000-0900-00000E000000}" name="Ano" totalsRowFunction="sum" dataDxfId="139" totalsRowDxfId="138"/>
  </tableColumns>
  <tableStyleInfo name="Tabela de Orçamento de Despesas de Negócios 2" showFirstColumn="1" showLastColumn="0" showRowStripes="0" showColumnStripes="0"/>
  <extLst>
    <ext xmlns:x14="http://schemas.microsoft.com/office/spreadsheetml/2009/9/main" uri="{504A1905-F514-4f6f-8877-14C23A59335A}">
      <x14:table altTextSummary="As despesas reais mensais e totais são calculadas automaticamente nesta tabela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A000000}" name="VariaçõesDeFuncionários" displayName="VariaçõesDeFuncionários" ref="B5:O8" totalsRowCount="1">
  <autoFilter ref="B5:O7" xr:uid="{00000000-0009-0000-0100-000009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A00-000001000000}" name="CUSTOS COM FUNCIONÁRIOS" totalsRowLabel="Subtotal" dataDxfId="137" totalsRowDxfId="136"/>
    <tableColumn id="2" xr3:uid="{00000000-0010-0000-0A00-000002000000}" name="Jan" totalsRowFunction="sum" dataDxfId="135" totalsRowDxfId="134">
      <calculatedColumnFormula>INDEX(PlanejamentoDeFuncionários[],MATCH(INDEX(VariaçõesDeFuncionários[],ROW()-ROW(VariaçõesDeFuncionários[[#Headers],[Jan]]),1),INDEX(PlanejamentoDeFuncionários[],,1),0),MATCH(VariaçõesDeFuncionários[[#Headers],[Jan]],PlanejamentoDeFuncionários[#Headers],0))-INDEX(RealFuncionários[],MATCH(INDEX(VariaçõesDeFuncionários[],ROW()-ROW(VariaçõesDeFuncionários[[#Headers],[Jan]]),1),INDEX(PlanejamentoDeFuncionários[],,1),0),MATCH(VariaçõesDeFuncionários[[#Headers],[Jan]],RealFuncionários[#Headers],0))</calculatedColumnFormula>
    </tableColumn>
    <tableColumn id="3" xr3:uid="{00000000-0010-0000-0A00-000003000000}" name="Fev" totalsRowFunction="sum" dataDxfId="133" totalsRowDxfId="132">
      <calculatedColumnFormula>INDEX(PlanejamentoDeFuncionários[],MATCH(INDEX(VariaçõesDeFuncionários[],ROW()-ROW(VariaçõesDeFuncionários[[#Headers],[Fev]]),1),INDEX(PlanejamentoDeFuncionários[],,1),0),MATCH(VariaçõesDeFuncionários[[#Headers],[Fev]],PlanejamentoDeFuncionários[#Headers],0))-INDEX(RealFuncionários[],MATCH(INDEX(VariaçõesDeFuncionários[],ROW()-ROW(VariaçõesDeFuncionários[[#Headers],[Fev]]),1),INDEX(PlanejamentoDeFuncionários[],,1),0),MATCH(VariaçõesDeFuncionários[[#Headers],[Fev]],RealFuncionários[#Headers],0))</calculatedColumnFormula>
    </tableColumn>
    <tableColumn id="4" xr3:uid="{00000000-0010-0000-0A00-000004000000}" name="Mar" totalsRowFunction="sum" dataDxfId="131" totalsRowDxfId="130">
      <calculatedColumnFormula>INDEX(PlanejamentoDeFuncionários[],MATCH(INDEX(VariaçõesDeFuncionários[],ROW()-ROW(VariaçõesDeFuncionários[[#Headers],[Mar]]),1),INDEX(PlanejamentoDeFuncionários[],,1),0),MATCH(VariaçõesDeFuncionários[[#Headers],[Mar]],PlanejamentoDeFuncionários[#Headers],0))-INDEX(RealFuncionários[],MATCH(INDEX(VariaçõesDeFuncionários[],ROW()-ROW(VariaçõesDeFuncionários[[#Headers],[Mar]]),1),INDEX(PlanejamentoDeFuncionários[],,1),0),MATCH(VariaçõesDeFuncionários[[#Headers],[Mar]],RealFuncionários[#Headers],0))</calculatedColumnFormula>
    </tableColumn>
    <tableColumn id="5" xr3:uid="{00000000-0010-0000-0A00-000005000000}" name="Abr" totalsRowFunction="sum" dataDxfId="129" totalsRowDxfId="128">
      <calculatedColumnFormula>INDEX(PlanejamentoDeFuncionários[],MATCH(INDEX(VariaçõesDeFuncionários[],ROW()-ROW(VariaçõesDeFuncionários[[#Headers],[Abr]]),1),INDEX(PlanejamentoDeFuncionários[],,1),0),MATCH(VariaçõesDeFuncionários[[#Headers],[Abr]],PlanejamentoDeFuncionários[#Headers],0))-INDEX(RealFuncionários[],MATCH(INDEX(VariaçõesDeFuncionários[],ROW()-ROW(VariaçõesDeFuncionários[[#Headers],[Abr]]),1),INDEX(PlanejamentoDeFuncionários[],,1),0),MATCH(VariaçõesDeFuncionários[[#Headers],[Abr]],RealFuncionários[#Headers],0))</calculatedColumnFormula>
    </tableColumn>
    <tableColumn id="6" xr3:uid="{00000000-0010-0000-0A00-000006000000}" name="Mai" totalsRowFunction="sum" dataDxfId="127" totalsRowDxfId="126">
      <calculatedColumnFormula>INDEX(PlanejamentoDeFuncionários[],MATCH(INDEX(VariaçõesDeFuncionários[],ROW()-ROW(VariaçõesDeFuncionários[[#Headers],[Mai]]),1),INDEX(PlanejamentoDeFuncionários[],,1),0),MATCH(VariaçõesDeFuncionários[[#Headers],[Mai]],PlanejamentoDeFuncionários[#Headers],0))-INDEX(RealFuncionários[],MATCH(INDEX(VariaçõesDeFuncionários[],ROW()-ROW(VariaçõesDeFuncionários[[#Headers],[Mai]]),1),INDEX(PlanejamentoDeFuncionários[],,1),0),MATCH(VariaçõesDeFuncionários[[#Headers],[Mai]],RealFuncionários[#Headers],0))</calculatedColumnFormula>
    </tableColumn>
    <tableColumn id="7" xr3:uid="{00000000-0010-0000-0A00-000007000000}" name="Jun" totalsRowFunction="sum" dataDxfId="125" totalsRowDxfId="124">
      <calculatedColumnFormula>INDEX(PlanejamentoDeFuncionários[],MATCH(INDEX(VariaçõesDeFuncionários[],ROW()-ROW(VariaçõesDeFuncionários[[#Headers],[Jun]]),1),INDEX(PlanejamentoDeFuncionários[],,1),0),MATCH(VariaçõesDeFuncionários[[#Headers],[Jun]],PlanejamentoDeFuncionários[#Headers],0))-INDEX(RealFuncionários[],MATCH(INDEX(VariaçõesDeFuncionários[],ROW()-ROW(VariaçõesDeFuncionários[[#Headers],[Jun]]),1),INDEX(PlanejamentoDeFuncionários[],,1),0),MATCH(VariaçõesDeFuncionários[[#Headers],[Jun]],RealFuncionários[#Headers],0))</calculatedColumnFormula>
    </tableColumn>
    <tableColumn id="8" xr3:uid="{00000000-0010-0000-0A00-000008000000}" name="Jul" totalsRowFunction="sum" dataDxfId="123" totalsRowDxfId="122">
      <calculatedColumnFormula>INDEX(PlanejamentoDeFuncionários[],MATCH(INDEX(VariaçõesDeFuncionários[],ROW()-ROW(VariaçõesDeFuncionários[[#Headers],[Jul]]),1),INDEX(PlanejamentoDeFuncionários[],,1),0),MATCH(VariaçõesDeFuncionários[[#Headers],[Jul]],PlanejamentoDeFuncionários[#Headers],0))-INDEX(RealFuncionários[],MATCH(INDEX(VariaçõesDeFuncionários[],ROW()-ROW(VariaçõesDeFuncionários[[#Headers],[Jul]]),1),INDEX(PlanejamentoDeFuncionários[],,1),0),MATCH(VariaçõesDeFuncionários[[#Headers],[Jul]],RealFuncionários[#Headers],0))</calculatedColumnFormula>
    </tableColumn>
    <tableColumn id="9" xr3:uid="{00000000-0010-0000-0A00-000009000000}" name="Ago" totalsRowFunction="sum" dataDxfId="121" totalsRowDxfId="120">
      <calculatedColumnFormula>INDEX(PlanejamentoDeFuncionários[],MATCH(INDEX(VariaçõesDeFuncionários[],ROW()-ROW(VariaçõesDeFuncionários[[#Headers],[Ago]]),1),INDEX(PlanejamentoDeFuncionários[],,1),0),MATCH(VariaçõesDeFuncionários[[#Headers],[Ago]],PlanejamentoDeFuncionários[#Headers],0))-INDEX(RealFuncionários[],MATCH(INDEX(VariaçõesDeFuncionários[],ROW()-ROW(VariaçõesDeFuncionários[[#Headers],[Ago]]),1),INDEX(PlanejamentoDeFuncionários[],,1),0),MATCH(VariaçõesDeFuncionários[[#Headers],[Ago]],RealFuncionários[#Headers],0))</calculatedColumnFormula>
    </tableColumn>
    <tableColumn id="10" xr3:uid="{00000000-0010-0000-0A00-00000A000000}" name="Set" totalsRowFunction="sum" dataDxfId="119" totalsRowDxfId="118">
      <calculatedColumnFormula>INDEX(PlanejamentoDeFuncionários[],MATCH(INDEX(VariaçõesDeFuncionários[],ROW()-ROW(VariaçõesDeFuncionários[[#Headers],[Set]]),1),INDEX(PlanejamentoDeFuncionários[],,1),0),MATCH(VariaçõesDeFuncionários[[#Headers],[Set]],PlanejamentoDeFuncionários[#Headers],0))-INDEX(RealFuncionários[],MATCH(INDEX(VariaçõesDeFuncionários[],ROW()-ROW(VariaçõesDeFuncionários[[#Headers],[Set]]),1),INDEX(PlanejamentoDeFuncionários[],,1),0),MATCH(VariaçõesDeFuncionários[[#Headers],[Set]],RealFuncionários[#Headers],0))</calculatedColumnFormula>
    </tableColumn>
    <tableColumn id="11" xr3:uid="{00000000-0010-0000-0A00-00000B000000}" name="Out" totalsRowFunction="sum" dataDxfId="117" totalsRowDxfId="116">
      <calculatedColumnFormula>INDEX(PlanejamentoDeFuncionários[],MATCH(INDEX(VariaçõesDeFuncionários[],ROW()-ROW(VariaçõesDeFuncionários[[#Headers],[Out]]),1),INDEX(PlanejamentoDeFuncionários[],,1),0),MATCH(VariaçõesDeFuncionários[[#Headers],[Out]],PlanejamentoDeFuncionários[#Headers],0))-INDEX(RealFuncionários[],MATCH(INDEX(VariaçõesDeFuncionários[],ROW()-ROW(VariaçõesDeFuncionários[[#Headers],[Out]]),1),INDEX(PlanejamentoDeFuncionários[],,1),0),MATCH(VariaçõesDeFuncionários[[#Headers],[Out]],RealFuncionários[#Headers],0))</calculatedColumnFormula>
    </tableColumn>
    <tableColumn id="12" xr3:uid="{00000000-0010-0000-0A00-00000C000000}" name="Nov" totalsRowFunction="sum" dataDxfId="115" totalsRowDxfId="114">
      <calculatedColumnFormula>INDEX(PlanejamentoDeFuncionários[],MATCH(INDEX(VariaçõesDeFuncionários[],ROW()-ROW(VariaçõesDeFuncionários[[#Headers],[Nov]]),1),INDEX(PlanejamentoDeFuncionários[],,1),0),MATCH(VariaçõesDeFuncionários[[#Headers],[Nov]],PlanejamentoDeFuncionários[#Headers],0))-INDEX(RealFuncionários[],MATCH(INDEX(VariaçõesDeFuncionários[],ROW()-ROW(VariaçõesDeFuncionários[[#Headers],[Nov]]),1),INDEX(PlanejamentoDeFuncionários[],,1),0),MATCH(VariaçõesDeFuncionários[[#Headers],[Nov]],RealFuncionários[#Headers],0))</calculatedColumnFormula>
    </tableColumn>
    <tableColumn id="13" xr3:uid="{00000000-0010-0000-0A00-00000D000000}" name="Dez" totalsRowFunction="sum" dataDxfId="113" totalsRowDxfId="112">
      <calculatedColumnFormula>INDEX(PlanejamentoDeFuncionários[],MATCH(INDEX(VariaçõesDeFuncionários[],ROW()-ROW(VariaçõesDeFuncionários[[#Headers],[Dez]]),1),INDEX(PlanejamentoDeFuncionários[],,1),0),MATCH(VariaçõesDeFuncionários[[#Headers],[Dez]],PlanejamentoDeFuncionários[#Headers],0))-INDEX(RealFuncionários[],MATCH(INDEX(VariaçõesDeFuncionários[],ROW()-ROW(VariaçõesDeFuncionários[[#Headers],[Dez]]),1),INDEX(PlanejamentoDeFuncionários[],,1),0),MATCH(VariaçõesDeFuncionários[[#Headers],[Dez]],RealFuncionários[#Headers],0))</calculatedColumnFormula>
    </tableColumn>
    <tableColumn id="14" xr3:uid="{00000000-0010-0000-0A00-00000E000000}" name="ANO" totalsRowFunction="sum" dataDxfId="111" totalsRowDxfId="110">
      <calculatedColumnFormula>SUM(VariaçõesDeFuncionários[[#This Row],[Jan]:[Dez]])</calculatedColumnFormula>
    </tableColumn>
  </tableColumns>
  <tableStyleInfo name="Tabela de Orçamento de Despesas de Negócios 3" showFirstColumn="1" showLastColumn="1" showRowStripes="0" showColumnStripes="0"/>
  <extLst>
    <ext xmlns:x14="http://schemas.microsoft.com/office/spreadsheetml/2009/9/main" uri="{504A1905-F514-4f6f-8877-14C23A59335A}">
      <x14:table altTextSummary="A variação nos custos mensais com funcionários é calculada automaticamente nesta tabela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B000000}" name="VariaçõesDoEscritório" displayName="VariaçõesDoEscritório" ref="B10:O19" totalsRowCount="1" headerRowDxfId="109" dataDxfId="107" totalsRowDxfId="105" headerRowBorderDxfId="108" tableBorderDxfId="106" totalsRowBorderDxfId="104">
  <autoFilter ref="B10:O18" xr:uid="{00000000-0009-0000-0100-00000A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B00-000001000000}" name="CUSTOS DO ESCRITÓRIO" totalsRowLabel="Subtotal" dataDxfId="103" totalsRowDxfId="102"/>
    <tableColumn id="2" xr3:uid="{00000000-0010-0000-0B00-000002000000}" name="Jan" totalsRowFunction="sum" dataDxfId="101" totalsRowDxfId="100">
      <calculatedColumnFormula>INDEX(PlanejamentoDoEscritório[],MATCH(INDEX(VariaçõesDoEscritório[],ROW()-ROW(VariaçõesDoEscritório[[#Headers],[Jan]]),1),INDEX(PlanejamentoDoEscritório[],,1),0),MATCH(VariaçõesDoEscritório[[#Headers],[Jan]],PlanejamentoDoEscritório[#Headers],0))-INDEX(RealEscritório[],MATCH(INDEX(VariaçõesDoEscritório[],ROW()-ROW(VariaçõesDoEscritório[[#Headers],[Jan]]),1),INDEX(PlanejamentoDoEscritório[],,1),0),MATCH(VariaçõesDoEscritório[[#Headers],[Jan]],RealEscritório[#Headers],0))</calculatedColumnFormula>
    </tableColumn>
    <tableColumn id="3" xr3:uid="{00000000-0010-0000-0B00-000003000000}" name="Fev" totalsRowFunction="sum" dataDxfId="99" totalsRowDxfId="98">
      <calculatedColumnFormula>INDEX(PlanejamentoDoEscritório[],MATCH(INDEX(VariaçõesDoEscritório[],ROW()-ROW(VariaçõesDoEscritório[[#Headers],[Fev]]),1),INDEX(PlanejamentoDoEscritório[],,1),0),MATCH(VariaçõesDoEscritório[[#Headers],[Fev]],PlanejamentoDoEscritório[#Headers],0))-INDEX(RealEscritório[],MATCH(INDEX(VariaçõesDoEscritório[],ROW()-ROW(VariaçõesDoEscritório[[#Headers],[Fev]]),1),INDEX(PlanejamentoDoEscritório[],,1),0),MATCH(VariaçõesDoEscritório[[#Headers],[Fev]],RealEscritório[#Headers],0))</calculatedColumnFormula>
    </tableColumn>
    <tableColumn id="4" xr3:uid="{00000000-0010-0000-0B00-000004000000}" name="Mar" totalsRowFunction="sum" dataDxfId="97" totalsRowDxfId="96">
      <calculatedColumnFormula>INDEX(PlanejamentoDoEscritório[],MATCH(INDEX(VariaçõesDoEscritório[],ROW()-ROW(VariaçõesDoEscritório[[#Headers],[Mar]]),1),INDEX(PlanejamentoDoEscritório[],,1),0),MATCH(VariaçõesDoEscritório[[#Headers],[Mar]],PlanejamentoDoEscritório[#Headers],0))-INDEX(RealEscritório[],MATCH(INDEX(VariaçõesDoEscritório[],ROW()-ROW(VariaçõesDoEscritório[[#Headers],[Mar]]),1),INDEX(PlanejamentoDoEscritório[],,1),0),MATCH(VariaçõesDoEscritório[[#Headers],[Mar]],RealEscritório[#Headers],0))</calculatedColumnFormula>
    </tableColumn>
    <tableColumn id="5" xr3:uid="{00000000-0010-0000-0B00-000005000000}" name="Abr" totalsRowFunction="sum" dataDxfId="95" totalsRowDxfId="94">
      <calculatedColumnFormula>INDEX(PlanejamentoDoEscritório[],MATCH(INDEX(VariaçõesDoEscritório[],ROW()-ROW(VariaçõesDoEscritório[[#Headers],[Abr]]),1),INDEX(PlanejamentoDoEscritório[],,1),0),MATCH(VariaçõesDoEscritório[[#Headers],[Abr]],PlanejamentoDoEscritório[#Headers],0))-INDEX(RealEscritório[],MATCH(INDEX(VariaçõesDoEscritório[],ROW()-ROW(VariaçõesDoEscritório[[#Headers],[Abr]]),1),INDEX(PlanejamentoDoEscritório[],,1),0),MATCH(VariaçõesDoEscritório[[#Headers],[Abr]],RealEscritório[#Headers],0))</calculatedColumnFormula>
    </tableColumn>
    <tableColumn id="6" xr3:uid="{00000000-0010-0000-0B00-000006000000}" name="Mai" totalsRowFunction="sum" dataDxfId="93" totalsRowDxfId="92">
      <calculatedColumnFormula>INDEX(PlanejamentoDoEscritório[],MATCH(INDEX(VariaçõesDoEscritório[],ROW()-ROW(VariaçõesDoEscritório[[#Headers],[Mai]]),1),INDEX(PlanejamentoDoEscritório[],,1),0),MATCH(VariaçõesDoEscritório[[#Headers],[Mai]],PlanejamentoDoEscritório[#Headers],0))-INDEX(RealEscritório[],MATCH(INDEX(VariaçõesDoEscritório[],ROW()-ROW(VariaçõesDoEscritório[[#Headers],[Mai]]),1),INDEX(PlanejamentoDoEscritório[],,1),0),MATCH(VariaçõesDoEscritório[[#Headers],[Mai]],RealEscritório[#Headers],0))</calculatedColumnFormula>
    </tableColumn>
    <tableColumn id="7" xr3:uid="{00000000-0010-0000-0B00-000007000000}" name="Jun" totalsRowFunction="sum" dataDxfId="91" totalsRowDxfId="90">
      <calculatedColumnFormula>INDEX(PlanejamentoDoEscritório[],MATCH(INDEX(VariaçõesDoEscritório[],ROW()-ROW(VariaçõesDoEscritório[[#Headers],[Jun]]),1),INDEX(PlanejamentoDoEscritório[],,1),0),MATCH(VariaçõesDoEscritório[[#Headers],[Jun]],PlanejamentoDoEscritório[#Headers],0))-INDEX(RealEscritório[],MATCH(INDEX(VariaçõesDoEscritório[],ROW()-ROW(VariaçõesDoEscritório[[#Headers],[Jun]]),1),INDEX(PlanejamentoDoEscritório[],,1),0),MATCH(VariaçõesDoEscritório[[#Headers],[Jun]],RealEscritório[#Headers],0))</calculatedColumnFormula>
    </tableColumn>
    <tableColumn id="8" xr3:uid="{00000000-0010-0000-0B00-000008000000}" name="Jul" totalsRowFunction="sum" dataDxfId="89" totalsRowDxfId="88">
      <calculatedColumnFormula>INDEX(PlanejamentoDoEscritório[],MATCH(INDEX(VariaçõesDoEscritório[],ROW()-ROW(VariaçõesDoEscritório[[#Headers],[Jul]]),1),INDEX(PlanejamentoDoEscritório[],,1),0),MATCH(VariaçõesDoEscritório[[#Headers],[Jul]],PlanejamentoDoEscritório[#Headers],0))-INDEX(RealEscritório[],MATCH(INDEX(VariaçõesDoEscritório[],ROW()-ROW(VariaçõesDoEscritório[[#Headers],[Jul]]),1),INDEX(PlanejamentoDoEscritório[],,1),0),MATCH(VariaçõesDoEscritório[[#Headers],[Jul]],RealEscritório[#Headers],0))</calculatedColumnFormula>
    </tableColumn>
    <tableColumn id="9" xr3:uid="{00000000-0010-0000-0B00-000009000000}" name="Ago" totalsRowFunction="sum" dataDxfId="87" totalsRowDxfId="86">
      <calculatedColumnFormula>INDEX(PlanejamentoDoEscritório[],MATCH(INDEX(VariaçõesDoEscritório[],ROW()-ROW(VariaçõesDoEscritório[[#Headers],[Ago]]),1),INDEX(PlanejamentoDoEscritório[],,1),0),MATCH(VariaçõesDoEscritório[[#Headers],[Ago]],PlanejamentoDoEscritório[#Headers],0))-INDEX(RealEscritório[],MATCH(INDEX(VariaçõesDoEscritório[],ROW()-ROW(VariaçõesDoEscritório[[#Headers],[Ago]]),1),INDEX(PlanejamentoDoEscritório[],,1),0),MATCH(VariaçõesDoEscritório[[#Headers],[Ago]],RealEscritório[#Headers],0))</calculatedColumnFormula>
    </tableColumn>
    <tableColumn id="10" xr3:uid="{00000000-0010-0000-0B00-00000A000000}" name="Set" totalsRowFunction="sum" dataDxfId="85" totalsRowDxfId="84">
      <calculatedColumnFormula>INDEX(PlanejamentoDoEscritório[],MATCH(INDEX(VariaçõesDoEscritório[],ROW()-ROW(VariaçõesDoEscritório[[#Headers],[Set]]),1),INDEX(PlanejamentoDoEscritório[],,1),0),MATCH(VariaçõesDoEscritório[[#Headers],[Set]],PlanejamentoDoEscritório[#Headers],0))-INDEX(RealEscritório[],MATCH(INDEX(VariaçõesDoEscritório[],ROW()-ROW(VariaçõesDoEscritório[[#Headers],[Set]]),1),INDEX(PlanejamentoDoEscritório[],,1),0),MATCH(VariaçõesDoEscritório[[#Headers],[Set]],RealEscritório[#Headers],0))</calculatedColumnFormula>
    </tableColumn>
    <tableColumn id="11" xr3:uid="{00000000-0010-0000-0B00-00000B000000}" name="Out" totalsRowFunction="sum" dataDxfId="83" totalsRowDxfId="82">
      <calculatedColumnFormula>INDEX(PlanejamentoDoEscritório[],MATCH(INDEX(VariaçõesDoEscritório[],ROW()-ROW(VariaçõesDoEscritório[[#Headers],[Out]]),1),INDEX(PlanejamentoDoEscritório[],,1),0),MATCH(VariaçõesDoEscritório[[#Headers],[Out]],PlanejamentoDoEscritório[#Headers],0))-INDEX(RealEscritório[],MATCH(INDEX(VariaçõesDoEscritório[],ROW()-ROW(VariaçõesDoEscritório[[#Headers],[Out]]),1),INDEX(PlanejamentoDoEscritório[],,1),0),MATCH(VariaçõesDoEscritório[[#Headers],[Out]],RealEscritório[#Headers],0))</calculatedColumnFormula>
    </tableColumn>
    <tableColumn id="12" xr3:uid="{00000000-0010-0000-0B00-00000C000000}" name="Nov" totalsRowFunction="sum" dataDxfId="81" totalsRowDxfId="80">
      <calculatedColumnFormula>INDEX(PlanejamentoDoEscritório[],MATCH(INDEX(VariaçõesDoEscritório[],ROW()-ROW(VariaçõesDoEscritório[[#Headers],[Nov]]),1),INDEX(PlanejamentoDoEscritório[],,1),0),MATCH(VariaçõesDoEscritório[[#Headers],[Nov]],PlanejamentoDoEscritório[#Headers],0))-INDEX(RealEscritório[],MATCH(INDEX(VariaçõesDoEscritório[],ROW()-ROW(VariaçõesDoEscritório[[#Headers],[Nov]]),1),INDEX(PlanejamentoDoEscritório[],,1),0),MATCH(VariaçõesDoEscritório[[#Headers],[Nov]],RealEscritório[#Headers],0))</calculatedColumnFormula>
    </tableColumn>
    <tableColumn id="13" xr3:uid="{00000000-0010-0000-0B00-00000D000000}" name="Dez" totalsRowFunction="sum" dataDxfId="79" totalsRowDxfId="78">
      <calculatedColumnFormula>INDEX(PlanejamentoDoEscritório[],MATCH(INDEX(VariaçõesDoEscritório[],ROW()-ROW(VariaçõesDoEscritório[[#Headers],[Dez]]),1),INDEX(PlanejamentoDoEscritório[],,1),0),MATCH(VariaçõesDoEscritório[[#Headers],[Dez]],PlanejamentoDoEscritório[#Headers],0))-INDEX(RealEscritório[],MATCH(INDEX(VariaçõesDoEscritório[],ROW()-ROW(VariaçõesDoEscritório[[#Headers],[Dez]]),1),INDEX(PlanejamentoDoEscritório[],,1),0),MATCH(VariaçõesDoEscritório[[#Headers],[Dez]],RealEscritório[#Headers],0))</calculatedColumnFormula>
    </tableColumn>
    <tableColumn id="14" xr3:uid="{00000000-0010-0000-0B00-00000E000000}" name="ANO" totalsRowFunction="sum" dataDxfId="77" totalsRowDxfId="76">
      <calculatedColumnFormula>SUM(VariaçõesDoEscritório[[#This Row],[Jan]:[Dez]])</calculatedColumnFormula>
    </tableColumn>
  </tableColumns>
  <tableStyleInfo name="Tabela de Orçamento de Despesas de Negócios 3" showFirstColumn="1" showLastColumn="1" showRowStripes="0" showColumnStripes="0"/>
  <extLst>
    <ext xmlns:x14="http://schemas.microsoft.com/office/spreadsheetml/2009/9/main" uri="{504A1905-F514-4f6f-8877-14C23A59335A}">
      <x14:table altTextSummary="A variação nos custos mensais com o escritório é calculada automaticamente nesta tabela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C000000}" name="VariaçõesDeMarketing" displayName="VariaçõesDeMarketing" ref="B21:O28" totalsRowCount="1">
  <autoFilter ref="B21:O27" xr:uid="{00000000-0009-0000-0100-00000B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C00-000001000000}" name="CUSTOS DE MARKETING" totalsRowLabel="Subtotal" dataDxfId="75" totalsRowDxfId="74"/>
    <tableColumn id="2" xr3:uid="{00000000-0010-0000-0C00-000002000000}" name="Jan" totalsRowFunction="sum" dataDxfId="73" totalsRowDxfId="72">
      <calculatedColumnFormula>INDEX(PlanejamentoDeMarketing[],MATCH(INDEX(VariaçõesDeMarketing[],ROW()-ROW(VariaçõesDeMarketing[[#Headers],[Jan]]),1),INDEX(PlanejamentoDeMarketing[],,1),0),MATCH(VariaçõesDeMarketing[[#Headers],[Jan]],PlanejamentoDeMarketing[#Headers],0))-INDEX(RealMarketing[],MATCH(INDEX(VariaçõesDeMarketing[],ROW()-ROW(VariaçõesDeMarketing[[#Headers],[Jan]]),1),INDEX(PlanejamentoDeMarketing[],,1),0),MATCH(VariaçõesDeMarketing[[#Headers],[Jan]],RealMarketing[#Headers],0))</calculatedColumnFormula>
    </tableColumn>
    <tableColumn id="3" xr3:uid="{00000000-0010-0000-0C00-000003000000}" name="Fev" totalsRowFunction="sum" dataDxfId="71" totalsRowDxfId="70">
      <calculatedColumnFormula>INDEX(PlanejamentoDeMarketing[],MATCH(INDEX(VariaçõesDeMarketing[],ROW()-ROW(VariaçõesDeMarketing[[#Headers],[Fev]]),1),INDEX(PlanejamentoDeMarketing[],,1),0),MATCH(VariaçõesDeMarketing[[#Headers],[Fev]],PlanejamentoDeMarketing[#Headers],0))-INDEX(RealMarketing[],MATCH(INDEX(VariaçõesDeMarketing[],ROW()-ROW(VariaçõesDeMarketing[[#Headers],[Fev]]),1),INDEX(PlanejamentoDeMarketing[],,1),0),MATCH(VariaçõesDeMarketing[[#Headers],[Fev]],RealMarketing[#Headers],0))</calculatedColumnFormula>
    </tableColumn>
    <tableColumn id="4" xr3:uid="{00000000-0010-0000-0C00-000004000000}" name="Mar" totalsRowFunction="sum" dataDxfId="69" totalsRowDxfId="68">
      <calculatedColumnFormula>INDEX(PlanejamentoDeMarketing[],MATCH(INDEX(VariaçõesDeMarketing[],ROW()-ROW(VariaçõesDeMarketing[[#Headers],[Mar]]),1),INDEX(PlanejamentoDeMarketing[],,1),0),MATCH(VariaçõesDeMarketing[[#Headers],[Mar]],PlanejamentoDeMarketing[#Headers],0))-INDEX(RealMarketing[],MATCH(INDEX(VariaçõesDeMarketing[],ROW()-ROW(VariaçõesDeMarketing[[#Headers],[Mar]]),1),INDEX(PlanejamentoDeMarketing[],,1),0),MATCH(VariaçõesDeMarketing[[#Headers],[Mar]],RealMarketing[#Headers],0))</calculatedColumnFormula>
    </tableColumn>
    <tableColumn id="5" xr3:uid="{00000000-0010-0000-0C00-000005000000}" name="Abr" totalsRowFunction="sum" dataDxfId="67" totalsRowDxfId="66">
      <calculatedColumnFormula>INDEX(PlanejamentoDeMarketing[],MATCH(INDEX(VariaçõesDeMarketing[],ROW()-ROW(VariaçõesDeMarketing[[#Headers],[Abr]]),1),INDEX(PlanejamentoDeMarketing[],,1),0),MATCH(VariaçõesDeMarketing[[#Headers],[Abr]],PlanejamentoDeMarketing[#Headers],0))-INDEX(RealMarketing[],MATCH(INDEX(VariaçõesDeMarketing[],ROW()-ROW(VariaçõesDeMarketing[[#Headers],[Abr]]),1),INDEX(PlanejamentoDeMarketing[],,1),0),MATCH(VariaçõesDeMarketing[[#Headers],[Abr]],RealMarketing[#Headers],0))</calculatedColumnFormula>
    </tableColumn>
    <tableColumn id="6" xr3:uid="{00000000-0010-0000-0C00-000006000000}" name="Mai" totalsRowFunction="sum" dataDxfId="65" totalsRowDxfId="64">
      <calculatedColumnFormula>INDEX(PlanejamentoDeMarketing[],MATCH(INDEX(VariaçõesDeMarketing[],ROW()-ROW(VariaçõesDeMarketing[[#Headers],[Mai]]),1),INDEX(PlanejamentoDeMarketing[],,1),0),MATCH(VariaçõesDeMarketing[[#Headers],[Mai]],PlanejamentoDeMarketing[#Headers],0))-INDEX(RealMarketing[],MATCH(INDEX(VariaçõesDeMarketing[],ROW()-ROW(VariaçõesDeMarketing[[#Headers],[Mai]]),1),INDEX(PlanejamentoDeMarketing[],,1),0),MATCH(VariaçõesDeMarketing[[#Headers],[Mai]],RealMarketing[#Headers],0))</calculatedColumnFormula>
    </tableColumn>
    <tableColumn id="7" xr3:uid="{00000000-0010-0000-0C00-000007000000}" name="Jun" totalsRowFunction="sum" dataDxfId="63" totalsRowDxfId="62">
      <calculatedColumnFormula>INDEX(PlanejamentoDeMarketing[],MATCH(INDEX(VariaçõesDeMarketing[],ROW()-ROW(VariaçõesDeMarketing[[#Headers],[Jun]]),1),INDEX(PlanejamentoDeMarketing[],,1),0),MATCH(VariaçõesDeMarketing[[#Headers],[Jun]],PlanejamentoDeMarketing[#Headers],0))-INDEX(RealMarketing[],MATCH(INDEX(VariaçõesDeMarketing[],ROW()-ROW(VariaçõesDeMarketing[[#Headers],[Jun]]),1),INDEX(PlanejamentoDeMarketing[],,1),0),MATCH(VariaçõesDeMarketing[[#Headers],[Jun]],RealMarketing[#Headers],0))</calculatedColumnFormula>
    </tableColumn>
    <tableColumn id="8" xr3:uid="{00000000-0010-0000-0C00-000008000000}" name="Jul" totalsRowFunction="sum" dataDxfId="61" totalsRowDxfId="60">
      <calculatedColumnFormula>INDEX(PlanejamentoDeMarketing[],MATCH(INDEX(VariaçõesDeMarketing[],ROW()-ROW(VariaçõesDeMarketing[[#Headers],[Jul]]),1),INDEX(PlanejamentoDeMarketing[],,1),0),MATCH(VariaçõesDeMarketing[[#Headers],[Jul]],PlanejamentoDeMarketing[#Headers],0))-INDEX(RealMarketing[],MATCH(INDEX(VariaçõesDeMarketing[],ROW()-ROW(VariaçõesDeMarketing[[#Headers],[Jul]]),1),INDEX(PlanejamentoDeMarketing[],,1),0),MATCH(VariaçõesDeMarketing[[#Headers],[Jul]],RealMarketing[#Headers],0))</calculatedColumnFormula>
    </tableColumn>
    <tableColumn id="9" xr3:uid="{00000000-0010-0000-0C00-000009000000}" name="Ago" totalsRowFunction="sum" dataDxfId="59" totalsRowDxfId="58">
      <calculatedColumnFormula>INDEX(PlanejamentoDeMarketing[],MATCH(INDEX(VariaçõesDeMarketing[],ROW()-ROW(VariaçõesDeMarketing[[#Headers],[Ago]]),1),INDEX(PlanejamentoDeMarketing[],,1),0),MATCH(VariaçõesDeMarketing[[#Headers],[Ago]],PlanejamentoDeMarketing[#Headers],0))-INDEX(RealMarketing[],MATCH(INDEX(VariaçõesDeMarketing[],ROW()-ROW(VariaçõesDeMarketing[[#Headers],[Ago]]),1),INDEX(PlanejamentoDeMarketing[],,1),0),MATCH(VariaçõesDeMarketing[[#Headers],[Ago]],RealMarketing[#Headers],0))</calculatedColumnFormula>
    </tableColumn>
    <tableColumn id="10" xr3:uid="{00000000-0010-0000-0C00-00000A000000}" name="Set" totalsRowFunction="sum" dataDxfId="57" totalsRowDxfId="56">
      <calculatedColumnFormula>INDEX(PlanejamentoDeMarketing[],MATCH(INDEX(VariaçõesDeMarketing[],ROW()-ROW(VariaçõesDeMarketing[[#Headers],[Set]]),1),INDEX(PlanejamentoDeMarketing[],,1),0),MATCH(VariaçõesDeMarketing[[#Headers],[Set]],PlanejamentoDeMarketing[#Headers],0))-INDEX(RealMarketing[],MATCH(INDEX(VariaçõesDeMarketing[],ROW()-ROW(VariaçõesDeMarketing[[#Headers],[Set]]),1),INDEX(PlanejamentoDeMarketing[],,1),0),MATCH(VariaçõesDeMarketing[[#Headers],[Set]],RealMarketing[#Headers],0))</calculatedColumnFormula>
    </tableColumn>
    <tableColumn id="11" xr3:uid="{00000000-0010-0000-0C00-00000B000000}" name="Out" totalsRowFunction="sum" dataDxfId="55" totalsRowDxfId="54">
      <calculatedColumnFormula>INDEX(PlanejamentoDeMarketing[],MATCH(INDEX(VariaçõesDeMarketing[],ROW()-ROW(VariaçõesDeMarketing[[#Headers],[Out]]),1),INDEX(PlanejamentoDeMarketing[],,1),0),MATCH(VariaçõesDeMarketing[[#Headers],[Out]],PlanejamentoDeMarketing[#Headers],0))-INDEX(RealMarketing[],MATCH(INDEX(VariaçõesDeMarketing[],ROW()-ROW(VariaçõesDeMarketing[[#Headers],[Out]]),1),INDEX(PlanejamentoDeMarketing[],,1),0),MATCH(VariaçõesDeMarketing[[#Headers],[Out]],RealMarketing[#Headers],0))</calculatedColumnFormula>
    </tableColumn>
    <tableColumn id="12" xr3:uid="{00000000-0010-0000-0C00-00000C000000}" name="Nov" totalsRowFunction="sum" dataDxfId="53" totalsRowDxfId="52">
      <calculatedColumnFormula>INDEX(PlanejamentoDeMarketing[],MATCH(INDEX(VariaçõesDeMarketing[],ROW()-ROW(VariaçõesDeMarketing[[#Headers],[Nov]]),1),INDEX(PlanejamentoDeMarketing[],,1),0),MATCH(VariaçõesDeMarketing[[#Headers],[Nov]],PlanejamentoDeMarketing[#Headers],0))-INDEX(RealMarketing[],MATCH(INDEX(VariaçõesDeMarketing[],ROW()-ROW(VariaçõesDeMarketing[[#Headers],[Nov]]),1),INDEX(PlanejamentoDeMarketing[],,1),0),MATCH(VariaçõesDeMarketing[[#Headers],[Nov]],RealMarketing[#Headers],0))</calculatedColumnFormula>
    </tableColumn>
    <tableColumn id="13" xr3:uid="{00000000-0010-0000-0C00-00000D000000}" name="Dez" totalsRowFunction="sum" dataDxfId="51" totalsRowDxfId="50">
      <calculatedColumnFormula>INDEX(PlanejamentoDeMarketing[],MATCH(INDEX(VariaçõesDeMarketing[],ROW()-ROW(VariaçõesDeMarketing[[#Headers],[Dez]]),1),INDEX(PlanejamentoDeMarketing[],,1),0),MATCH(VariaçõesDeMarketing[[#Headers],[Dez]],PlanejamentoDeMarketing[#Headers],0))-INDEX(RealMarketing[],MATCH(INDEX(VariaçõesDeMarketing[],ROW()-ROW(VariaçõesDeMarketing[[#Headers],[Dez]]),1),INDEX(PlanejamentoDeMarketing[],,1),0),MATCH(VariaçõesDeMarketing[[#Headers],[Dez]],RealMarketing[#Headers],0))</calculatedColumnFormula>
    </tableColumn>
    <tableColumn id="14" xr3:uid="{00000000-0010-0000-0C00-00000E000000}" name="ANO" totalsRowFunction="sum" dataDxfId="49" totalsRowDxfId="48">
      <calculatedColumnFormula>SUM(VariaçõesDeMarketing[[#This Row],[Jan]:[Dez]])</calculatedColumnFormula>
    </tableColumn>
  </tableColumns>
  <tableStyleInfo name="Tabela de Orçamento de Despesas de Negócios 3" showFirstColumn="1" showLastColumn="1" showRowStripes="0" showColumnStripes="0"/>
  <extLst>
    <ext xmlns:x14="http://schemas.microsoft.com/office/spreadsheetml/2009/9/main" uri="{504A1905-F514-4f6f-8877-14C23A59335A}">
      <x14:table altTextSummary="A variação nos custos mensais com marketing é calculada automaticamente nesta tabela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D000000}" name="VariaçõesDeViagensETreinamentos" displayName="VariaçõesDeViagensETreinamentos" ref="B30:O33" totalsRowCount="1">
  <autoFilter ref="B30:O32" xr:uid="{00000000-0009-0000-0100-00000C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D00-000001000000}" name="TREINAMENTO/VIAGEM" totalsRowLabel="Subtotal" dataDxfId="47" totalsRowDxfId="46"/>
    <tableColumn id="2" xr3:uid="{00000000-0010-0000-0D00-000002000000}" name="Jan" totalsRowFunction="sum" dataDxfId="45" totalsRowDxfId="44">
      <calculatedColumnFormula>INDEX(PlanejamentoViagemETreinamento[],MATCH(INDEX(VariaçõesDeViagensETreinamentos[],ROW()-ROW(VariaçõesDeViagensETreinamentos[[#Headers],[Jan]]),1),INDEX(PlanejamentoViagemETreinamento[],,1),0),MATCH(VariaçõesDeViagensETreinamentos[[#Headers],[Jan]],PlanejamentoViagemETreinamento[#Headers],0))-INDEX(RealViagemETreinamento[],MATCH(INDEX(VariaçõesDeViagensETreinamentos[],ROW()-ROW(VariaçõesDeViagensETreinamentos[[#Headers],[Jan]]),1),INDEX(PlanejamentoViagemETreinamento[],,1),0),MATCH(VariaçõesDeViagensETreinamentos[[#Headers],[Jan]],RealViagemETreinamento[#Headers],0))</calculatedColumnFormula>
    </tableColumn>
    <tableColumn id="3" xr3:uid="{00000000-0010-0000-0D00-000003000000}" name="Fev" totalsRowFunction="sum" dataDxfId="43" totalsRowDxfId="42">
      <calculatedColumnFormula>INDEX(PlanejamentoViagemETreinamento[],MATCH(INDEX(VariaçõesDeViagensETreinamentos[],ROW()-ROW(VariaçõesDeViagensETreinamentos[[#Headers],[Fev]]),1),INDEX(PlanejamentoViagemETreinamento[],,1),0),MATCH(VariaçõesDeViagensETreinamentos[[#Headers],[Fev]],PlanejamentoViagemETreinamento[#Headers],0))-INDEX(RealViagemETreinamento[],MATCH(INDEX(VariaçõesDeViagensETreinamentos[],ROW()-ROW(VariaçõesDeViagensETreinamentos[[#Headers],[Fev]]),1),INDEX(PlanejamentoViagemETreinamento[],,1),0),MATCH(VariaçõesDeViagensETreinamentos[[#Headers],[Fev]],RealViagemETreinamento[#Headers],0))</calculatedColumnFormula>
    </tableColumn>
    <tableColumn id="4" xr3:uid="{00000000-0010-0000-0D00-000004000000}" name="Mar" totalsRowFunction="sum" dataDxfId="41" totalsRowDxfId="40">
      <calculatedColumnFormula>INDEX(PlanejamentoViagemETreinamento[],MATCH(INDEX(VariaçõesDeViagensETreinamentos[],ROW()-ROW(VariaçõesDeViagensETreinamentos[[#Headers],[Mar]]),1),INDEX(PlanejamentoViagemETreinamento[],,1),0),MATCH(VariaçõesDeViagensETreinamentos[[#Headers],[Mar]],PlanejamentoViagemETreinamento[#Headers],0))-INDEX(RealViagemETreinamento[],MATCH(INDEX(VariaçõesDeViagensETreinamentos[],ROW()-ROW(VariaçõesDeViagensETreinamentos[[#Headers],[Mar]]),1),INDEX(PlanejamentoViagemETreinamento[],,1),0),MATCH(VariaçõesDeViagensETreinamentos[[#Headers],[Mar]],RealViagemETreinamento[#Headers],0))</calculatedColumnFormula>
    </tableColumn>
    <tableColumn id="5" xr3:uid="{00000000-0010-0000-0D00-000005000000}" name="Abr" totalsRowFunction="sum" dataDxfId="39" totalsRowDxfId="38">
      <calculatedColumnFormula>INDEX(PlanejamentoViagemETreinamento[],MATCH(INDEX(VariaçõesDeViagensETreinamentos[],ROW()-ROW(VariaçõesDeViagensETreinamentos[[#Headers],[Abr]]),1),INDEX(PlanejamentoViagemETreinamento[],,1),0),MATCH(VariaçõesDeViagensETreinamentos[[#Headers],[Abr]],PlanejamentoViagemETreinamento[#Headers],0))-INDEX(RealViagemETreinamento[],MATCH(INDEX(VariaçõesDeViagensETreinamentos[],ROW()-ROW(VariaçõesDeViagensETreinamentos[[#Headers],[Abr]]),1),INDEX(PlanejamentoViagemETreinamento[],,1),0),MATCH(VariaçõesDeViagensETreinamentos[[#Headers],[Abr]],RealViagemETreinamento[#Headers],0))</calculatedColumnFormula>
    </tableColumn>
    <tableColumn id="6" xr3:uid="{00000000-0010-0000-0D00-000006000000}" name="Mai" totalsRowFunction="sum" dataDxfId="37" totalsRowDxfId="36">
      <calculatedColumnFormula>INDEX(PlanejamentoViagemETreinamento[],MATCH(INDEX(VariaçõesDeViagensETreinamentos[],ROW()-ROW(VariaçõesDeViagensETreinamentos[[#Headers],[Mai]]),1),INDEX(PlanejamentoViagemETreinamento[],,1),0),MATCH(VariaçõesDeViagensETreinamentos[[#Headers],[Mai]],PlanejamentoViagemETreinamento[#Headers],0))-INDEX(RealViagemETreinamento[],MATCH(INDEX(VariaçõesDeViagensETreinamentos[],ROW()-ROW(VariaçõesDeViagensETreinamentos[[#Headers],[Mai]]),1),INDEX(PlanejamentoViagemETreinamento[],,1),0),MATCH(VariaçõesDeViagensETreinamentos[[#Headers],[Mai]],RealViagemETreinamento[#Headers],0))</calculatedColumnFormula>
    </tableColumn>
    <tableColumn id="7" xr3:uid="{00000000-0010-0000-0D00-000007000000}" name="Jun" totalsRowFunction="sum" dataDxfId="35" totalsRowDxfId="34">
      <calculatedColumnFormula>INDEX(PlanejamentoViagemETreinamento[],MATCH(INDEX(VariaçõesDeViagensETreinamentos[],ROW()-ROW(VariaçõesDeViagensETreinamentos[[#Headers],[Jun]]),1),INDEX(PlanejamentoViagemETreinamento[],,1),0),MATCH(VariaçõesDeViagensETreinamentos[[#Headers],[Jun]],PlanejamentoViagemETreinamento[#Headers],0))-INDEX(RealViagemETreinamento[],MATCH(INDEX(VariaçõesDeViagensETreinamentos[],ROW()-ROW(VariaçõesDeViagensETreinamentos[[#Headers],[Jun]]),1),INDEX(PlanejamentoViagemETreinamento[],,1),0),MATCH(VariaçõesDeViagensETreinamentos[[#Headers],[Jun]],RealViagemETreinamento[#Headers],0))</calculatedColumnFormula>
    </tableColumn>
    <tableColumn id="8" xr3:uid="{00000000-0010-0000-0D00-000008000000}" name="Jul" totalsRowFunction="sum" dataDxfId="33" totalsRowDxfId="32">
      <calculatedColumnFormula>INDEX(PlanejamentoViagemETreinamento[],MATCH(INDEX(VariaçõesDeViagensETreinamentos[],ROW()-ROW(VariaçõesDeViagensETreinamentos[[#Headers],[Jul]]),1),INDEX(PlanejamentoViagemETreinamento[],,1),0),MATCH(VariaçõesDeViagensETreinamentos[[#Headers],[Jul]],PlanejamentoViagemETreinamento[#Headers],0))-INDEX(RealViagemETreinamento[],MATCH(INDEX(VariaçõesDeViagensETreinamentos[],ROW()-ROW(VariaçõesDeViagensETreinamentos[[#Headers],[Jul]]),1),INDEX(PlanejamentoViagemETreinamento[],,1),0),MATCH(VariaçõesDeViagensETreinamentos[[#Headers],[Jul]],RealViagemETreinamento[#Headers],0))</calculatedColumnFormula>
    </tableColumn>
    <tableColumn id="9" xr3:uid="{00000000-0010-0000-0D00-000009000000}" name="Ago" totalsRowFunction="sum" dataDxfId="31" totalsRowDxfId="30">
      <calculatedColumnFormula>INDEX(PlanejamentoViagemETreinamento[],MATCH(INDEX(VariaçõesDeViagensETreinamentos[],ROW()-ROW(VariaçõesDeViagensETreinamentos[[#Headers],[Ago]]),1),INDEX(PlanejamentoViagemETreinamento[],,1),0),MATCH(VariaçõesDeViagensETreinamentos[[#Headers],[Ago]],PlanejamentoViagemETreinamento[#Headers],0))-INDEX(RealViagemETreinamento[],MATCH(INDEX(VariaçõesDeViagensETreinamentos[],ROW()-ROW(VariaçõesDeViagensETreinamentos[[#Headers],[Ago]]),1),INDEX(PlanejamentoViagemETreinamento[],,1),0),MATCH(VariaçõesDeViagensETreinamentos[[#Headers],[Ago]],RealViagemETreinamento[#Headers],0))</calculatedColumnFormula>
    </tableColumn>
    <tableColumn id="10" xr3:uid="{00000000-0010-0000-0D00-00000A000000}" name="Set" totalsRowFunction="sum" dataDxfId="29" totalsRowDxfId="28">
      <calculatedColumnFormula>INDEX(PlanejamentoViagemETreinamento[],MATCH(INDEX(VariaçõesDeViagensETreinamentos[],ROW()-ROW(VariaçõesDeViagensETreinamentos[[#Headers],[Set]]),1),INDEX(PlanejamentoViagemETreinamento[],,1),0),MATCH(VariaçõesDeViagensETreinamentos[[#Headers],[Set]],PlanejamentoViagemETreinamento[#Headers],0))-INDEX(RealViagemETreinamento[],MATCH(INDEX(VariaçõesDeViagensETreinamentos[],ROW()-ROW(VariaçõesDeViagensETreinamentos[[#Headers],[Set]]),1),INDEX(PlanejamentoViagemETreinamento[],,1),0),MATCH(VariaçõesDeViagensETreinamentos[[#Headers],[Set]],RealViagemETreinamento[#Headers],0))</calculatedColumnFormula>
    </tableColumn>
    <tableColumn id="11" xr3:uid="{00000000-0010-0000-0D00-00000B000000}" name="Out" totalsRowFunction="sum" dataDxfId="27" totalsRowDxfId="26">
      <calculatedColumnFormula>INDEX(PlanejamentoViagemETreinamento[],MATCH(INDEX(VariaçõesDeViagensETreinamentos[],ROW()-ROW(VariaçõesDeViagensETreinamentos[[#Headers],[Out]]),1),INDEX(PlanejamentoViagemETreinamento[],,1),0),MATCH(VariaçõesDeViagensETreinamentos[[#Headers],[Out]],PlanejamentoViagemETreinamento[#Headers],0))-INDEX(RealViagemETreinamento[],MATCH(INDEX(VariaçõesDeViagensETreinamentos[],ROW()-ROW(VariaçõesDeViagensETreinamentos[[#Headers],[Out]]),1),INDEX(PlanejamentoViagemETreinamento[],,1),0),MATCH(VariaçõesDeViagensETreinamentos[[#Headers],[Out]],RealViagemETreinamento[#Headers],0))</calculatedColumnFormula>
    </tableColumn>
    <tableColumn id="12" xr3:uid="{00000000-0010-0000-0D00-00000C000000}" name="Nov" totalsRowFunction="sum" dataDxfId="25" totalsRowDxfId="24">
      <calculatedColumnFormula>INDEX(PlanejamentoViagemETreinamento[],MATCH(INDEX(VariaçõesDeViagensETreinamentos[],ROW()-ROW(VariaçõesDeViagensETreinamentos[[#Headers],[Nov]]),1),INDEX(PlanejamentoViagemETreinamento[],,1),0),MATCH(VariaçõesDeViagensETreinamentos[[#Headers],[Nov]],PlanejamentoViagemETreinamento[#Headers],0))-INDEX(RealViagemETreinamento[],MATCH(INDEX(VariaçõesDeViagensETreinamentos[],ROW()-ROW(VariaçõesDeViagensETreinamentos[[#Headers],[Nov]]),1),INDEX(PlanejamentoViagemETreinamento[],,1),0),MATCH(VariaçõesDeViagensETreinamentos[[#Headers],[Nov]],RealViagemETreinamento[#Headers],0))</calculatedColumnFormula>
    </tableColumn>
    <tableColumn id="13" xr3:uid="{00000000-0010-0000-0D00-00000D000000}" name="Dez" totalsRowFunction="sum" dataDxfId="23" totalsRowDxfId="22">
      <calculatedColumnFormula>INDEX(PlanejamentoViagemETreinamento[],MATCH(INDEX(VariaçõesDeViagensETreinamentos[],ROW()-ROW(VariaçõesDeViagensETreinamentos[[#Headers],[Dez]]),1),INDEX(PlanejamentoViagemETreinamento[],,1),0),MATCH(VariaçõesDeViagensETreinamentos[[#Headers],[Dez]],PlanejamentoViagemETreinamento[#Headers],0))-INDEX(RealViagemETreinamento[],MATCH(INDEX(VariaçõesDeViagensETreinamentos[],ROW()-ROW(VariaçõesDeViagensETreinamentos[[#Headers],[Dez]]),1),INDEX(PlanejamentoViagemETreinamento[],,1),0),MATCH(VariaçõesDeViagensETreinamentos[[#Headers],[Dez]],RealViagemETreinamento[#Headers],0))</calculatedColumnFormula>
    </tableColumn>
    <tableColumn id="14" xr3:uid="{00000000-0010-0000-0D00-00000E000000}" name="ANO" totalsRowFunction="sum" dataDxfId="21" totalsRowDxfId="20">
      <calculatedColumnFormula>SUM(VariaçõesDeViagensETreinamentos[[#This Row],[Jan]:[Dez]])</calculatedColumnFormula>
    </tableColumn>
  </tableColumns>
  <tableStyleInfo name="Tabela de Orçamento de Despesas de Negócios 3" showFirstColumn="1" showLastColumn="1" showRowStripes="0" showColumnStripes="0"/>
  <extLst>
    <ext xmlns:x14="http://schemas.microsoft.com/office/spreadsheetml/2009/9/main" uri="{504A1905-F514-4f6f-8877-14C23A59335A}">
      <x14:table altTextSummary="A variação nos custos mensais com viagens e treinamentos é calculada automaticamente nesta tabela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E000000}" name="VariaçõesTotais" displayName="VariaçõesTotais" ref="B35:O37">
  <autoFilter ref="B35:O37" xr:uid="{00000000-0009-0000-0100-000010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E00-000001000000}" name="TOTAIS" totalsRowLabel="Total" dataDxfId="19" totalsRowDxfId="18"/>
    <tableColumn id="2" xr3:uid="{00000000-0010-0000-0E00-000002000000}" name="Jan" dataDxfId="17">
      <calculatedColumnFormula>SUM($C35:C$36)</calculatedColumnFormula>
    </tableColumn>
    <tableColumn id="3" xr3:uid="{00000000-0010-0000-0E00-000003000000}" name="Fev" dataDxfId="16">
      <calculatedColumnFormula>SUM($C35:D$36)</calculatedColumnFormula>
    </tableColumn>
    <tableColumn id="4" xr3:uid="{00000000-0010-0000-0E00-000004000000}" name="Mar" dataDxfId="15">
      <calculatedColumnFormula>SUM($C35:E$36)</calculatedColumnFormula>
    </tableColumn>
    <tableColumn id="5" xr3:uid="{00000000-0010-0000-0E00-000005000000}" name="Abr" dataDxfId="14">
      <calculatedColumnFormula>SUM($C35:F$36)</calculatedColumnFormula>
    </tableColumn>
    <tableColumn id="6" xr3:uid="{00000000-0010-0000-0E00-000006000000}" name="Mai" dataDxfId="13">
      <calculatedColumnFormula>SUM($C35:G$36)</calculatedColumnFormula>
    </tableColumn>
    <tableColumn id="7" xr3:uid="{00000000-0010-0000-0E00-000007000000}" name="Jun" dataDxfId="12">
      <calculatedColumnFormula>SUM($C35:H$36)</calculatedColumnFormula>
    </tableColumn>
    <tableColumn id="8" xr3:uid="{00000000-0010-0000-0E00-000008000000}" name="Jul" dataDxfId="11">
      <calculatedColumnFormula>SUM($C35:I$36)</calculatedColumnFormula>
    </tableColumn>
    <tableColumn id="9" xr3:uid="{00000000-0010-0000-0E00-000009000000}" name="Ago" dataDxfId="10">
      <calculatedColumnFormula>SUM($C35:J$36)</calculatedColumnFormula>
    </tableColumn>
    <tableColumn id="10" xr3:uid="{00000000-0010-0000-0E00-00000A000000}" name="Set" dataDxfId="9">
      <calculatedColumnFormula>SUM($C35:K$36)</calculatedColumnFormula>
    </tableColumn>
    <tableColumn id="11" xr3:uid="{00000000-0010-0000-0E00-00000B000000}" name="Out" dataDxfId="8">
      <calculatedColumnFormula>SUM($C35:L$36)</calculatedColumnFormula>
    </tableColumn>
    <tableColumn id="12" xr3:uid="{00000000-0010-0000-0E00-00000C000000}" name="Nov" dataDxfId="7">
      <calculatedColumnFormula>SUM($C35:M$36)</calculatedColumnFormula>
    </tableColumn>
    <tableColumn id="13" xr3:uid="{00000000-0010-0000-0E00-00000D000000}" name="Dez" dataDxfId="6">
      <calculatedColumnFormula>SUM($C35:N$36)</calculatedColumnFormula>
    </tableColumn>
    <tableColumn id="14" xr3:uid="{00000000-0010-0000-0E00-00000E000000}" name="Ano" totalsRowFunction="sum" dataDxfId="5" totalsRowDxfId="4"/>
  </tableColumns>
  <tableStyleInfo name="Tabela de Orçamento de Despesas de Negócios 3" showFirstColumn="1" showLastColumn="0" showRowStripes="0" showColumnStripes="0"/>
  <extLst>
    <ext xmlns:x14="http://schemas.microsoft.com/office/spreadsheetml/2009/9/main" uri="{504A1905-F514-4f6f-8877-14C23A59335A}">
      <x14:table altTextSummary="A variação de despesas mensais e totais é calculada automaticamente nesta tabela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F000000}" name="Análise" displayName="Análise" ref="B4:F9" totalsRowShown="0">
  <autoFilter ref="B4:F9" xr:uid="{00000000-0009-0000-0100-00000D000000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00000000-0010-0000-0F00-000001000000}" name="CATEGORIA DE DESPESAS" dataDxfId="3"/>
    <tableColumn id="2" xr3:uid="{00000000-0010-0000-0F00-000002000000}" name="DESPESAS PLANEJADAS" dataDxfId="2"/>
    <tableColumn id="3" xr3:uid="{00000000-0010-0000-0F00-000003000000}" name="DESPESAS REAIS" dataDxfId="1"/>
    <tableColumn id="4" xr3:uid="{00000000-0010-0000-0F00-000004000000}" name="VARIAÇÕES DE DESPESAS" dataDxfId="0">
      <calculatedColumnFormula>C5-D5</calculatedColumnFormula>
    </tableColumn>
    <tableColumn id="5" xr3:uid="{00000000-0010-0000-0F00-000005000000}" name="PORCENTAGEM DE VARIAÇÃO">
      <calculatedColumnFormula>E5/C5</calculatedColumnFormula>
    </tableColumn>
  </tableColumns>
  <tableStyleInfo name="Tabela de Orçamento de Despesas de Negócios 4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PlanejamentoDeMarketing" displayName="PlanejamentoDeMarketing" ref="B21:O28" totalsRowCount="1" headerRowDxfId="415" dataDxfId="413" totalsRowDxfId="411" headerRowBorderDxfId="414" tableBorderDxfId="412">
  <autoFilter ref="B21:O27" xr:uid="{00000000-0009-0000-0100-000002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100-000001000000}" name="CUSTOS DE MARKETING" totalsRowLabel="Subtotal" dataDxfId="410" totalsRowDxfId="409"/>
    <tableColumn id="2" xr3:uid="{00000000-0010-0000-0100-000002000000}" name="Jan" totalsRowFunction="sum" dataDxfId="408" totalsRowDxfId="407"/>
    <tableColumn id="3" xr3:uid="{00000000-0010-0000-0100-000003000000}" name="Fev" totalsRowFunction="sum" dataDxfId="406" totalsRowDxfId="405"/>
    <tableColumn id="4" xr3:uid="{00000000-0010-0000-0100-000004000000}" name="Mar" totalsRowFunction="sum" dataDxfId="404" totalsRowDxfId="403"/>
    <tableColumn id="5" xr3:uid="{00000000-0010-0000-0100-000005000000}" name="Abr" totalsRowFunction="sum" dataDxfId="402" totalsRowDxfId="401"/>
    <tableColumn id="6" xr3:uid="{00000000-0010-0000-0100-000006000000}" name="Mai" totalsRowFunction="sum" dataDxfId="400" totalsRowDxfId="399"/>
    <tableColumn id="7" xr3:uid="{00000000-0010-0000-0100-000007000000}" name="Jun" totalsRowFunction="sum" dataDxfId="398" totalsRowDxfId="397"/>
    <tableColumn id="8" xr3:uid="{00000000-0010-0000-0100-000008000000}" name="Jul" totalsRowFunction="sum" dataDxfId="396" totalsRowDxfId="395"/>
    <tableColumn id="9" xr3:uid="{00000000-0010-0000-0100-000009000000}" name="Ago" totalsRowFunction="sum" dataDxfId="394" totalsRowDxfId="393"/>
    <tableColumn id="10" xr3:uid="{00000000-0010-0000-0100-00000A000000}" name="Set" totalsRowFunction="sum" dataDxfId="392" totalsRowDxfId="391"/>
    <tableColumn id="11" xr3:uid="{00000000-0010-0000-0100-00000B000000}" name="Out" totalsRowFunction="sum" dataDxfId="390" totalsRowDxfId="389"/>
    <tableColumn id="12" xr3:uid="{00000000-0010-0000-0100-00000C000000}" name="Nov" totalsRowFunction="sum" dataDxfId="388" totalsRowDxfId="387"/>
    <tableColumn id="13" xr3:uid="{00000000-0010-0000-0100-00000D000000}" name="Dez" totalsRowFunction="sum" dataDxfId="386" totalsRowDxfId="385"/>
    <tableColumn id="14" xr3:uid="{00000000-0010-0000-0100-00000E000000}" name="ANO" totalsRowFunction="sum" dataDxfId="384" totalsRowDxfId="383">
      <calculatedColumnFormula>SUM(C22:N22)</calculatedColumnFormula>
    </tableColumn>
  </tableColumns>
  <tableStyleInfo name="Tabela de Orçamento de Despesas de Negócios 1" showFirstColumn="1" showLastColumn="1" showRowStripes="0" showColumnStripes="0"/>
  <extLst>
    <ext xmlns:x14="http://schemas.microsoft.com/office/spreadsheetml/2009/9/main" uri="{504A1905-F514-4f6f-8877-14C23A59335A}">
      <x14:table altTextSummary="Insira os custos mensais planejados para marketing nesta tabela. O total é calculado automaticamente no final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PlanejamentoViagemETreinamento" displayName="PlanejamentoViagemETreinamento" ref="B30:O33" totalsRowCount="1" headerRowDxfId="382" dataDxfId="380" totalsRowDxfId="379" headerRowBorderDxfId="381">
  <autoFilter ref="B30:O32" xr:uid="{00000000-0009-0000-0100-000003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200-000001000000}" name="TREINAMENTO/VIAGEM" totalsRowLabel="Subtotal" dataDxfId="378" totalsRowDxfId="377"/>
    <tableColumn id="2" xr3:uid="{00000000-0010-0000-0200-000002000000}" name="Jan" totalsRowFunction="sum" dataDxfId="376" totalsRowDxfId="375"/>
    <tableColumn id="3" xr3:uid="{00000000-0010-0000-0200-000003000000}" name="Fev" totalsRowFunction="sum" dataDxfId="374" totalsRowDxfId="373"/>
    <tableColumn id="4" xr3:uid="{00000000-0010-0000-0200-000004000000}" name="Mar" totalsRowFunction="sum" dataDxfId="372" totalsRowDxfId="371"/>
    <tableColumn id="5" xr3:uid="{00000000-0010-0000-0200-000005000000}" name="Abr" totalsRowFunction="sum" dataDxfId="370" totalsRowDxfId="369"/>
    <tableColumn id="6" xr3:uid="{00000000-0010-0000-0200-000006000000}" name="Mai" totalsRowFunction="sum" dataDxfId="368" totalsRowDxfId="367"/>
    <tableColumn id="7" xr3:uid="{00000000-0010-0000-0200-000007000000}" name="Jun" totalsRowFunction="sum" dataDxfId="366" totalsRowDxfId="365"/>
    <tableColumn id="8" xr3:uid="{00000000-0010-0000-0200-000008000000}" name="Jul" totalsRowFunction="sum" dataDxfId="364" totalsRowDxfId="363"/>
    <tableColumn id="9" xr3:uid="{00000000-0010-0000-0200-000009000000}" name="Ago" totalsRowFunction="sum" dataDxfId="362" totalsRowDxfId="361"/>
    <tableColumn id="10" xr3:uid="{00000000-0010-0000-0200-00000A000000}" name="Set" totalsRowFunction="sum" dataDxfId="360" totalsRowDxfId="359"/>
    <tableColumn id="11" xr3:uid="{00000000-0010-0000-0200-00000B000000}" name="Out" totalsRowFunction="sum" dataDxfId="358" totalsRowDxfId="357"/>
    <tableColumn id="12" xr3:uid="{00000000-0010-0000-0200-00000C000000}" name="Nov" totalsRowFunction="sum" dataDxfId="356" totalsRowDxfId="355"/>
    <tableColumn id="13" xr3:uid="{00000000-0010-0000-0200-00000D000000}" name="Dez" totalsRowFunction="sum" dataDxfId="354" totalsRowDxfId="353"/>
    <tableColumn id="14" xr3:uid="{00000000-0010-0000-0200-00000E000000}" name="ANO" totalsRowFunction="sum" dataDxfId="352" totalsRowDxfId="351">
      <calculatedColumnFormula>SUM(C31:N31)</calculatedColumnFormula>
    </tableColumn>
  </tableColumns>
  <tableStyleInfo name="Tabela de Orçamento de Despesas de Negócios 1" showFirstColumn="1" showLastColumn="1" showRowStripes="0" showColumnStripes="0"/>
  <extLst>
    <ext xmlns:x14="http://schemas.microsoft.com/office/spreadsheetml/2009/9/main" uri="{504A1905-F514-4f6f-8877-14C23A59335A}">
      <x14:table altTextSummary="Insira os custos mensais planejados para viagens e treinamentos nesta tabela. O total é calculado automaticamente no final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3000000}" name="PlanejamentoDeFuncionários" displayName="PlanejamentoDeFuncionários" ref="B5:O8" totalsRowCount="1">
  <autoFilter ref="B5:O7" xr:uid="{00000000-0009-0000-0100-000007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300-000001000000}" name="CUSTOS COM FUNCIONÁRIOS" totalsRowLabel="Subtotal" dataDxfId="350" totalsRowDxfId="349"/>
    <tableColumn id="2" xr3:uid="{00000000-0010-0000-0300-000002000000}" name="Jan" totalsRowFunction="sum" dataDxfId="348" totalsRowDxfId="347">
      <calculatedColumnFormula>C5*0.27</calculatedColumnFormula>
    </tableColumn>
    <tableColumn id="3" xr3:uid="{00000000-0010-0000-0300-000003000000}" name="Fev" totalsRowFunction="sum" dataDxfId="346" totalsRowDxfId="345">
      <calculatedColumnFormula>D5*0.27</calculatedColumnFormula>
    </tableColumn>
    <tableColumn id="4" xr3:uid="{00000000-0010-0000-0300-000004000000}" name="Mar" totalsRowFunction="sum" dataDxfId="344" totalsRowDxfId="343">
      <calculatedColumnFormula>E5*0.27</calculatedColumnFormula>
    </tableColumn>
    <tableColumn id="5" xr3:uid="{00000000-0010-0000-0300-000005000000}" name="Abr" totalsRowFunction="sum" dataDxfId="342" totalsRowDxfId="341">
      <calculatedColumnFormula>F5*0.27</calculatedColumnFormula>
    </tableColumn>
    <tableColumn id="6" xr3:uid="{00000000-0010-0000-0300-000006000000}" name="Mai" totalsRowFunction="sum" dataDxfId="340" totalsRowDxfId="339">
      <calculatedColumnFormula>G5*0.27</calculatedColumnFormula>
    </tableColumn>
    <tableColumn id="7" xr3:uid="{00000000-0010-0000-0300-000007000000}" name="Jun" totalsRowFunction="sum" dataDxfId="338" totalsRowDxfId="337">
      <calculatedColumnFormula>H5*0.27</calculatedColumnFormula>
    </tableColumn>
    <tableColumn id="8" xr3:uid="{00000000-0010-0000-0300-000008000000}" name="Jul" totalsRowFunction="sum" dataDxfId="336" totalsRowDxfId="335">
      <calculatedColumnFormula>I5*0.27</calculatedColumnFormula>
    </tableColumn>
    <tableColumn id="9" xr3:uid="{00000000-0010-0000-0300-000009000000}" name="Ago" totalsRowFunction="sum" dataDxfId="334" totalsRowDxfId="333">
      <calculatedColumnFormula>J5*0.27</calculatedColumnFormula>
    </tableColumn>
    <tableColumn id="10" xr3:uid="{00000000-0010-0000-0300-00000A000000}" name="Set" totalsRowFunction="sum" dataDxfId="332" totalsRowDxfId="331">
      <calculatedColumnFormula>K5*0.27</calculatedColumnFormula>
    </tableColumn>
    <tableColumn id="11" xr3:uid="{00000000-0010-0000-0300-00000B000000}" name="Out" totalsRowFunction="sum" dataDxfId="330" totalsRowDxfId="329">
      <calculatedColumnFormula>L5*0.27</calculatedColumnFormula>
    </tableColumn>
    <tableColumn id="12" xr3:uid="{00000000-0010-0000-0300-00000C000000}" name="Nov" totalsRowFunction="sum" dataDxfId="328" totalsRowDxfId="327">
      <calculatedColumnFormula>M5*0.27</calculatedColumnFormula>
    </tableColumn>
    <tableColumn id="13" xr3:uid="{00000000-0010-0000-0300-00000D000000}" name="Dez" totalsRowFunction="sum" dataDxfId="326" totalsRowDxfId="325">
      <calculatedColumnFormula>N5*0.27</calculatedColumnFormula>
    </tableColumn>
    <tableColumn id="14" xr3:uid="{00000000-0010-0000-0300-00000E000000}" name="ANO" totalsRowFunction="sum" dataDxfId="324" totalsRowDxfId="323">
      <calculatedColumnFormula>SUM(C6:N6)</calculatedColumnFormula>
    </tableColumn>
  </tableColumns>
  <tableStyleInfo name="Tabela de Orçamento de Despesas de Negócios 1" showFirstColumn="1" showLastColumn="1" showRowStripes="1" showColumnStripes="0"/>
  <extLst>
    <ext xmlns:x14="http://schemas.microsoft.com/office/spreadsheetml/2009/9/main" uri="{504A1905-F514-4f6f-8877-14C23A59335A}">
      <x14:table altTextSummary="Insira os custos mensais planejados para funcionários nesta tabela. O total é calculado automaticamente no final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4000000}" name="TotalPlanejado" displayName="TotalPlanejado" ref="B35:O37" headerRowDxfId="322" dataDxfId="320" headerRowBorderDxfId="321">
  <autoFilter ref="B35:O37" xr:uid="{00000000-0009-0000-0100-00000E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400-000001000000}" name="TOTAL DE DESPESAS PLANEJADAS" totalsRowLabel="Total" dataDxfId="319" totalsRowDxfId="318"/>
    <tableColumn id="2" xr3:uid="{00000000-0010-0000-0400-000002000000}" name="Jan" dataDxfId="317" totalsRowDxfId="316">
      <calculatedColumnFormula>SUM($C35:C$36)</calculatedColumnFormula>
    </tableColumn>
    <tableColumn id="3" xr3:uid="{00000000-0010-0000-0400-000003000000}" name="Fev" dataDxfId="315" totalsRowDxfId="314">
      <calculatedColumnFormula>SUM($C35:D$36)</calculatedColumnFormula>
    </tableColumn>
    <tableColumn id="4" xr3:uid="{00000000-0010-0000-0400-000004000000}" name="Mar" dataDxfId="313" totalsRowDxfId="312">
      <calculatedColumnFormula>SUM($C35:E$36)</calculatedColumnFormula>
    </tableColumn>
    <tableColumn id="5" xr3:uid="{00000000-0010-0000-0400-000005000000}" name="Abr" dataDxfId="311" totalsRowDxfId="310">
      <calculatedColumnFormula>SUM($C35:F$36)</calculatedColumnFormula>
    </tableColumn>
    <tableColumn id="6" xr3:uid="{00000000-0010-0000-0400-000006000000}" name="Mai" dataDxfId="309" totalsRowDxfId="308">
      <calculatedColumnFormula>SUM($C35:G$36)</calculatedColumnFormula>
    </tableColumn>
    <tableColumn id="7" xr3:uid="{00000000-0010-0000-0400-000007000000}" name="Jun" dataDxfId="307" totalsRowDxfId="306">
      <calculatedColumnFormula>SUM($C35:H$36)</calculatedColumnFormula>
    </tableColumn>
    <tableColumn id="8" xr3:uid="{00000000-0010-0000-0400-000008000000}" name="Jul" dataDxfId="305" totalsRowDxfId="304">
      <calculatedColumnFormula>SUM($C35:I$36)</calculatedColumnFormula>
    </tableColumn>
    <tableColumn id="9" xr3:uid="{00000000-0010-0000-0400-000009000000}" name="Ago" dataDxfId="303" totalsRowDxfId="302">
      <calculatedColumnFormula>SUM($C35:J$36)</calculatedColumnFormula>
    </tableColumn>
    <tableColumn id="10" xr3:uid="{00000000-0010-0000-0400-00000A000000}" name="Set" dataDxfId="301" totalsRowDxfId="300">
      <calculatedColumnFormula>SUM($C35:K$36)</calculatedColumnFormula>
    </tableColumn>
    <tableColumn id="11" xr3:uid="{00000000-0010-0000-0400-00000B000000}" name="Out" dataDxfId="299" totalsRowDxfId="298">
      <calculatedColumnFormula>SUM($C35:L$36)</calculatedColumnFormula>
    </tableColumn>
    <tableColumn id="12" xr3:uid="{00000000-0010-0000-0400-00000C000000}" name="Nov" dataDxfId="297" totalsRowDxfId="296">
      <calculatedColumnFormula>SUM($C35:M$36)</calculatedColumnFormula>
    </tableColumn>
    <tableColumn id="13" xr3:uid="{00000000-0010-0000-0400-00000D000000}" name="Dez" dataDxfId="295" totalsRowDxfId="294">
      <calculatedColumnFormula>SUM($C35:N$36)</calculatedColumnFormula>
    </tableColumn>
    <tableColumn id="14" xr3:uid="{00000000-0010-0000-0400-00000E000000}" name="Ano" totalsRowFunction="sum" dataDxfId="293" totalsRowDxfId="292"/>
  </tableColumns>
  <tableStyleInfo name="Tabela de Orçamento de Despesas de Negócios 1" showFirstColumn="1" showLastColumn="0" showRowStripes="0" showColumnStripes="0"/>
  <extLst>
    <ext xmlns:x14="http://schemas.microsoft.com/office/spreadsheetml/2009/9/main" uri="{504A1905-F514-4f6f-8877-14C23A59335A}">
      <x14:table altTextSummary="As despesas planejadas mensais e totais são calculadas automaticamente nesta tabela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5000000}" name="RealEscritório" displayName="RealEscritório" ref="B10:O19" totalsRowCount="1">
  <autoFilter ref="B10:O18" xr:uid="{00000000-0009-0000-0100-000004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500-000001000000}" name="CUSTOS DO ESCRITÓRIO" totalsRowLabel="Subtotal" dataDxfId="291" totalsRowDxfId="290"/>
    <tableColumn id="2" xr3:uid="{00000000-0010-0000-0500-000002000000}" name="Jan" totalsRowFunction="sum" dataDxfId="289" totalsRowDxfId="288"/>
    <tableColumn id="3" xr3:uid="{00000000-0010-0000-0500-000003000000}" name="Fev" totalsRowFunction="sum" dataDxfId="287" totalsRowDxfId="286"/>
    <tableColumn id="4" xr3:uid="{00000000-0010-0000-0500-000004000000}" name="Mar" totalsRowFunction="sum" dataDxfId="285" totalsRowDxfId="284"/>
    <tableColumn id="5" xr3:uid="{00000000-0010-0000-0500-000005000000}" name="Abr" totalsRowFunction="sum" dataDxfId="283" totalsRowDxfId="282"/>
    <tableColumn id="6" xr3:uid="{00000000-0010-0000-0500-000006000000}" name="Mai" totalsRowFunction="sum" dataDxfId="281" totalsRowDxfId="280"/>
    <tableColumn id="7" xr3:uid="{00000000-0010-0000-0500-000007000000}" name="Jun" totalsRowFunction="sum" dataDxfId="279" totalsRowDxfId="278"/>
    <tableColumn id="8" xr3:uid="{00000000-0010-0000-0500-000008000000}" name="Jul" totalsRowFunction="sum" dataDxfId="277" totalsRowDxfId="276"/>
    <tableColumn id="9" xr3:uid="{00000000-0010-0000-0500-000009000000}" name="Ago" totalsRowFunction="sum" dataDxfId="275" totalsRowDxfId="274"/>
    <tableColumn id="10" xr3:uid="{00000000-0010-0000-0500-00000A000000}" name="Set" totalsRowFunction="sum" dataDxfId="273" totalsRowDxfId="272"/>
    <tableColumn id="11" xr3:uid="{00000000-0010-0000-0500-00000B000000}" name="Out" totalsRowFunction="sum" dataDxfId="271" totalsRowDxfId="270"/>
    <tableColumn id="12" xr3:uid="{00000000-0010-0000-0500-00000C000000}" name="Nov" totalsRowFunction="sum" dataDxfId="269" totalsRowDxfId="268"/>
    <tableColumn id="13" xr3:uid="{00000000-0010-0000-0500-00000D000000}" name="Dez" totalsRowFunction="sum" dataDxfId="267" totalsRowDxfId="266"/>
    <tableColumn id="14" xr3:uid="{00000000-0010-0000-0500-00000E000000}" name="ANO" totalsRowFunction="sum" dataDxfId="265" totalsRowDxfId="264">
      <calculatedColumnFormula>SUM(C11:N11)</calculatedColumnFormula>
    </tableColumn>
  </tableColumns>
  <tableStyleInfo name="Tabela de Orçamento de Despesas de Negócios 2" showFirstColumn="1" showLastColumn="1" showRowStripes="0" showColumnStripes="0"/>
  <extLst>
    <ext xmlns:x14="http://schemas.microsoft.com/office/spreadsheetml/2009/9/main" uri="{504A1905-F514-4f6f-8877-14C23A59335A}">
      <x14:table altTextSummary="Insira os custos mensais reais com escritório nesta tabela. O total é calculado automaticamente no final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6000000}" name="RealMarketing" displayName="RealMarketing" ref="B21:O28" totalsRowCount="1" headerRowDxfId="263" dataDxfId="261" totalsRowDxfId="259" headerRowBorderDxfId="262" tableBorderDxfId="260" totalsRowBorderDxfId="258">
  <autoFilter ref="B21:O27" xr:uid="{00000000-0009-0000-0100-000005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600-000001000000}" name="CUSTOS DE MARKETING" totalsRowLabel="Subtotal" dataDxfId="257" totalsRowDxfId="256"/>
    <tableColumn id="2" xr3:uid="{00000000-0010-0000-0600-000002000000}" name="Jan" totalsRowFunction="sum" dataDxfId="255" totalsRowDxfId="254"/>
    <tableColumn id="3" xr3:uid="{00000000-0010-0000-0600-000003000000}" name="Fev" totalsRowFunction="sum" dataDxfId="253" totalsRowDxfId="252"/>
    <tableColumn id="4" xr3:uid="{00000000-0010-0000-0600-000004000000}" name="Mar" totalsRowFunction="sum" dataDxfId="251" totalsRowDxfId="250"/>
    <tableColumn id="5" xr3:uid="{00000000-0010-0000-0600-000005000000}" name="Abr" totalsRowFunction="sum" dataDxfId="249" totalsRowDxfId="248"/>
    <tableColumn id="6" xr3:uid="{00000000-0010-0000-0600-000006000000}" name="Mai" totalsRowFunction="sum" dataDxfId="247" totalsRowDxfId="246"/>
    <tableColumn id="7" xr3:uid="{00000000-0010-0000-0600-000007000000}" name="Jun" totalsRowFunction="sum" dataDxfId="245" totalsRowDxfId="244"/>
    <tableColumn id="8" xr3:uid="{00000000-0010-0000-0600-000008000000}" name="Jul" totalsRowFunction="sum" dataDxfId="243" totalsRowDxfId="242"/>
    <tableColumn id="9" xr3:uid="{00000000-0010-0000-0600-000009000000}" name="Ago" totalsRowFunction="sum" dataDxfId="241" totalsRowDxfId="240"/>
    <tableColumn id="10" xr3:uid="{00000000-0010-0000-0600-00000A000000}" name="Set" totalsRowFunction="sum" dataDxfId="239" totalsRowDxfId="238"/>
    <tableColumn id="11" xr3:uid="{00000000-0010-0000-0600-00000B000000}" name="Out" totalsRowFunction="sum" dataDxfId="237" totalsRowDxfId="236"/>
    <tableColumn id="12" xr3:uid="{00000000-0010-0000-0600-00000C000000}" name="Nov" totalsRowFunction="sum" dataDxfId="235" totalsRowDxfId="234"/>
    <tableColumn id="13" xr3:uid="{00000000-0010-0000-0600-00000D000000}" name="Dez" totalsRowFunction="sum" dataDxfId="233" totalsRowDxfId="232"/>
    <tableColumn id="14" xr3:uid="{00000000-0010-0000-0600-00000E000000}" name="ANO" totalsRowFunction="sum" dataDxfId="231" totalsRowDxfId="230">
      <calculatedColumnFormula>SUM(C22:N22)</calculatedColumnFormula>
    </tableColumn>
  </tableColumns>
  <tableStyleInfo name="Tabela de Orçamento de Despesas de Negócios 2" showFirstColumn="1" showLastColumn="1" showRowStripes="0" showColumnStripes="0"/>
  <extLst>
    <ext xmlns:x14="http://schemas.microsoft.com/office/spreadsheetml/2009/9/main" uri="{504A1905-F514-4f6f-8877-14C23A59335A}">
      <x14:table altTextSummary="Insira os custos mensais reais com marketing nesta tabela. O total é calculado automaticamente no final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7000000}" name="RealViagemETreinamento" displayName="RealViagemETreinamento" ref="B30:O33" totalsRowCount="1" headerRowDxfId="229" dataDxfId="227" totalsRowDxfId="225" headerRowBorderDxfId="228" tableBorderDxfId="226" totalsRowBorderDxfId="224">
  <autoFilter ref="B30:O32" xr:uid="{00000000-0009-0000-0100-000006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700-000001000000}" name="CUSTOS DE TREINAMENTO" totalsRowLabel="Subtotal" dataDxfId="223" totalsRowDxfId="222"/>
    <tableColumn id="2" xr3:uid="{00000000-0010-0000-0700-000002000000}" name="Jan" totalsRowFunction="sum" dataDxfId="221" totalsRowDxfId="220"/>
    <tableColumn id="3" xr3:uid="{00000000-0010-0000-0700-000003000000}" name="Fev" totalsRowFunction="sum" dataDxfId="219" totalsRowDxfId="218"/>
    <tableColumn id="4" xr3:uid="{00000000-0010-0000-0700-000004000000}" name="Mar" totalsRowFunction="sum" dataDxfId="217" totalsRowDxfId="216"/>
    <tableColumn id="5" xr3:uid="{00000000-0010-0000-0700-000005000000}" name="Abr" totalsRowFunction="sum" dataDxfId="215" totalsRowDxfId="214"/>
    <tableColumn id="6" xr3:uid="{00000000-0010-0000-0700-000006000000}" name="Mai" totalsRowFunction="sum" dataDxfId="213" totalsRowDxfId="212"/>
    <tableColumn id="7" xr3:uid="{00000000-0010-0000-0700-000007000000}" name="Jun" totalsRowFunction="sum" dataDxfId="211" totalsRowDxfId="210"/>
    <tableColumn id="8" xr3:uid="{00000000-0010-0000-0700-000008000000}" name="Jul" totalsRowFunction="sum" dataDxfId="209" totalsRowDxfId="208"/>
    <tableColumn id="9" xr3:uid="{00000000-0010-0000-0700-000009000000}" name="Ago" totalsRowFunction="sum" dataDxfId="207" totalsRowDxfId="206"/>
    <tableColumn id="10" xr3:uid="{00000000-0010-0000-0700-00000A000000}" name="Set" totalsRowFunction="sum" dataDxfId="205" totalsRowDxfId="204"/>
    <tableColumn id="11" xr3:uid="{00000000-0010-0000-0700-00000B000000}" name="Out" totalsRowFunction="sum" dataDxfId="203" totalsRowDxfId="202"/>
    <tableColumn id="12" xr3:uid="{00000000-0010-0000-0700-00000C000000}" name="Nov" totalsRowFunction="sum" dataDxfId="201" totalsRowDxfId="200"/>
    <tableColumn id="13" xr3:uid="{00000000-0010-0000-0700-00000D000000}" name="Dez" totalsRowFunction="sum" dataDxfId="199" totalsRowDxfId="198"/>
    <tableColumn id="14" xr3:uid="{00000000-0010-0000-0700-00000E000000}" name="ANO" totalsRowFunction="sum" dataDxfId="197" totalsRowDxfId="196">
      <calculatedColumnFormula>SUM(C31:N31)</calculatedColumnFormula>
    </tableColumn>
  </tableColumns>
  <tableStyleInfo name="Tabela de Orçamento de Despesas de Negócios 2" showFirstColumn="1" showLastColumn="1" showRowStripes="0" showColumnStripes="0"/>
  <extLst>
    <ext xmlns:x14="http://schemas.microsoft.com/office/spreadsheetml/2009/9/main" uri="{504A1905-F514-4f6f-8877-14C23A59335A}">
      <x14:table altTextSummary="Insira os custos mensais reais com viagens e treinamentos nesta tabela. O total é calculado automaticamente no final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RealFuncionários" displayName="RealFuncionários" ref="B5:O8" totalsRowCount="1">
  <autoFilter ref="B5:O7" xr:uid="{00000000-0009-0000-0100-000008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xr3:uid="{00000000-0010-0000-0800-000001000000}" name="CUSTOS COM FUNCIONÁRIOS" totalsRowLabel="Subtotal" dataDxfId="195"/>
    <tableColumn id="2" xr3:uid="{00000000-0010-0000-0800-000002000000}" name="Jan" totalsRowFunction="sum" dataDxfId="194" totalsRowDxfId="193">
      <calculatedColumnFormula>C5*0.27</calculatedColumnFormula>
    </tableColumn>
    <tableColumn id="3" xr3:uid="{00000000-0010-0000-0800-000003000000}" name="Fev" totalsRowFunction="sum" dataDxfId="192" totalsRowDxfId="191">
      <calculatedColumnFormula>D5*0.27</calculatedColumnFormula>
    </tableColumn>
    <tableColumn id="4" xr3:uid="{00000000-0010-0000-0800-000004000000}" name="Mar" totalsRowFunction="sum" dataDxfId="190" totalsRowDxfId="189">
      <calculatedColumnFormula>E5*0.27</calculatedColumnFormula>
    </tableColumn>
    <tableColumn id="5" xr3:uid="{00000000-0010-0000-0800-000005000000}" name="Abr" totalsRowFunction="sum" dataDxfId="188" totalsRowDxfId="187">
      <calculatedColumnFormula>F5*0.27</calculatedColumnFormula>
    </tableColumn>
    <tableColumn id="6" xr3:uid="{00000000-0010-0000-0800-000006000000}" name="Mai" totalsRowFunction="sum" dataDxfId="186" totalsRowDxfId="185">
      <calculatedColumnFormula>G5*0.27</calculatedColumnFormula>
    </tableColumn>
    <tableColumn id="7" xr3:uid="{00000000-0010-0000-0800-000007000000}" name="Jun" totalsRowFunction="sum" dataDxfId="184" totalsRowDxfId="183">
      <calculatedColumnFormula>H5*0.27</calculatedColumnFormula>
    </tableColumn>
    <tableColumn id="8" xr3:uid="{00000000-0010-0000-0800-000008000000}" name="Jul" totalsRowFunction="sum" dataDxfId="182" totalsRowDxfId="181"/>
    <tableColumn id="9" xr3:uid="{00000000-0010-0000-0800-000009000000}" name="Ago" totalsRowFunction="sum" dataDxfId="180" totalsRowDxfId="179"/>
    <tableColumn id="10" xr3:uid="{00000000-0010-0000-0800-00000A000000}" name="Set" totalsRowFunction="sum" dataDxfId="178" totalsRowDxfId="177"/>
    <tableColumn id="11" xr3:uid="{00000000-0010-0000-0800-00000B000000}" name="Out" totalsRowFunction="sum" dataDxfId="176" totalsRowDxfId="175"/>
    <tableColumn id="12" xr3:uid="{00000000-0010-0000-0800-00000C000000}" name="Nov" totalsRowFunction="sum" dataDxfId="174" totalsRowDxfId="173"/>
    <tableColumn id="13" xr3:uid="{00000000-0010-0000-0800-00000D000000}" name="Dez" totalsRowFunction="sum" dataDxfId="172" totalsRowDxfId="171"/>
    <tableColumn id="14" xr3:uid="{00000000-0010-0000-0800-00000E000000}" name="ANO" totalsRowFunction="sum" dataDxfId="170" totalsRowDxfId="169">
      <calculatedColumnFormula>SUM(C6:N6)</calculatedColumnFormula>
    </tableColumn>
  </tableColumns>
  <tableStyleInfo name="Tabela de Orçamento de Despesas de Negócios 2" showFirstColumn="1" showLastColumn="1" showRowStripes="0" showColumnStripes="0"/>
  <extLst>
    <ext xmlns:x14="http://schemas.microsoft.com/office/spreadsheetml/2009/9/main" uri="{504A1905-F514-4f6f-8877-14C23A59335A}">
      <x14:table altTextSummary="Insira os custos mensais reais com funcionários nesta tabela. O total é calculado automaticamente no final"/>
    </ext>
  </extLst>
</table>
</file>

<file path=xl/theme/theme1.xml><?xml version="1.0" encoding="utf-8"?>
<a:theme xmlns:a="http://schemas.openxmlformats.org/drawingml/2006/main" name="Office Theme">
  <a:themeElements>
    <a:clrScheme name="Custom 25">
      <a:dk1>
        <a:sysClr val="windowText" lastClr="000000"/>
      </a:dk1>
      <a:lt1>
        <a:srgbClr val="FFFFFF"/>
      </a:lt1>
      <a:dk2>
        <a:srgbClr val="2F4B83"/>
      </a:dk2>
      <a:lt2>
        <a:srgbClr val="F2F2F2"/>
      </a:lt2>
      <a:accent1>
        <a:srgbClr val="CC1D10"/>
      </a:accent1>
      <a:accent2>
        <a:srgbClr val="357B37"/>
      </a:accent2>
      <a:accent3>
        <a:srgbClr val="34A0DC"/>
      </a:accent3>
      <a:accent4>
        <a:srgbClr val="B71F66"/>
      </a:accent4>
      <a:accent5>
        <a:srgbClr val="255D77"/>
      </a:accent5>
      <a:accent6>
        <a:srgbClr val="EF4538"/>
      </a:accent6>
      <a:hlink>
        <a:srgbClr val="7DC6F3"/>
      </a:hlink>
      <a:folHlink>
        <a:srgbClr val="7DC6F3"/>
      </a:folHlink>
    </a:clrScheme>
    <a:fontScheme name="Custom 45">
      <a:majorFont>
        <a:latin typeface="Gill Sans MT"/>
        <a:ea typeface=""/>
        <a:cs typeface=""/>
      </a:majorFont>
      <a:minorFont>
        <a:latin typeface="Gill Sans MT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7" Type="http://schemas.openxmlformats.org/officeDocument/2006/relationships/table" Target="../tables/table5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7" Type="http://schemas.openxmlformats.org/officeDocument/2006/relationships/table" Target="../tables/table10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9.xml"/><Relationship Id="rId5" Type="http://schemas.openxmlformats.org/officeDocument/2006/relationships/table" Target="../tables/table8.xml"/><Relationship Id="rId4" Type="http://schemas.openxmlformats.org/officeDocument/2006/relationships/table" Target="../tables/table7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7" Type="http://schemas.openxmlformats.org/officeDocument/2006/relationships/table" Target="../tables/table15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6" Type="http://schemas.openxmlformats.org/officeDocument/2006/relationships/table" Target="../tables/table14.xml"/><Relationship Id="rId5" Type="http://schemas.openxmlformats.org/officeDocument/2006/relationships/table" Target="../tables/table13.xml"/><Relationship Id="rId4" Type="http://schemas.openxmlformats.org/officeDocument/2006/relationships/table" Target="../tables/table1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</sheetPr>
  <dimension ref="B1:B8"/>
  <sheetViews>
    <sheetView zoomScaleNormal="100" workbookViewId="0">
      <selection activeCell="D6" sqref="D6"/>
    </sheetView>
  </sheetViews>
  <sheetFormatPr defaultColWidth="8.85546875" defaultRowHeight="15" x14ac:dyDescent="0.3"/>
  <cols>
    <col min="1" max="1" width="2.42578125" style="9" customWidth="1"/>
    <col min="2" max="2" width="118.140625" style="9" customWidth="1"/>
    <col min="3" max="3" width="2.7109375" style="9" customWidth="1"/>
    <col min="4" max="16384" width="8.85546875" style="9"/>
  </cols>
  <sheetData>
    <row r="1" spans="2:2" s="16" customFormat="1" ht="36" customHeight="1" x14ac:dyDescent="0.3">
      <c r="B1" s="17" t="s">
        <v>0</v>
      </c>
    </row>
    <row r="2" spans="2:2" ht="30" customHeight="1" x14ac:dyDescent="0.3">
      <c r="B2" s="18" t="s">
        <v>1</v>
      </c>
    </row>
    <row r="3" spans="2:2" ht="17.25" x14ac:dyDescent="0.3">
      <c r="B3" s="19" t="s">
        <v>2</v>
      </c>
    </row>
    <row r="4" spans="2:2" ht="17.25" x14ac:dyDescent="0.3">
      <c r="B4" s="19" t="s">
        <v>3</v>
      </c>
    </row>
    <row r="5" spans="2:2" ht="34.5" x14ac:dyDescent="0.3">
      <c r="B5" s="19" t="s">
        <v>4</v>
      </c>
    </row>
    <row r="7" spans="2:2" ht="78" customHeight="1" x14ac:dyDescent="0.3">
      <c r="B7" s="18" t="s">
        <v>5</v>
      </c>
    </row>
    <row r="8" spans="2:2" ht="40.5" customHeight="1" x14ac:dyDescent="0.3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4"/>
    <pageSetUpPr autoPageBreaks="0"/>
  </sheetPr>
  <dimension ref="A1:P38"/>
  <sheetViews>
    <sheetView showGridLines="0" tabSelected="1" zoomScaleNormal="100" workbookViewId="0">
      <selection activeCell="B1" sqref="B1:O3"/>
    </sheetView>
  </sheetViews>
  <sheetFormatPr defaultColWidth="8.85546875" defaultRowHeight="33.950000000000003" customHeight="1" x14ac:dyDescent="0.3"/>
  <cols>
    <col min="1" max="1" width="2.7109375" style="20" customWidth="1"/>
    <col min="2" max="2" width="46.7109375" style="20" customWidth="1"/>
    <col min="3" max="15" width="16.7109375" style="20" customWidth="1"/>
    <col min="16" max="16" width="2.7109375" style="20" customWidth="1"/>
    <col min="17" max="16384" width="8.85546875" style="20"/>
  </cols>
  <sheetData>
    <row r="1" spans="1:16" ht="24" customHeight="1" x14ac:dyDescent="0.3">
      <c r="A1" s="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3"/>
    </row>
    <row r="2" spans="1:16" ht="45" customHeight="1" x14ac:dyDescent="0.3">
      <c r="A2" s="5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"/>
    </row>
    <row r="3" spans="1:16" ht="79.150000000000006" customHeight="1" x14ac:dyDescent="0.3">
      <c r="A3" s="5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"/>
    </row>
    <row r="4" spans="1:16" s="28" customFormat="1" ht="50.1" customHeight="1" x14ac:dyDescent="0.3">
      <c r="A4" s="6"/>
      <c r="B4" s="34" t="s">
        <v>6</v>
      </c>
      <c r="C4" s="49" t="s">
        <v>33</v>
      </c>
      <c r="D4" s="50" t="s">
        <v>35</v>
      </c>
      <c r="E4" s="49" t="s">
        <v>37</v>
      </c>
      <c r="F4" s="50" t="s">
        <v>39</v>
      </c>
      <c r="G4" s="49" t="s">
        <v>41</v>
      </c>
      <c r="H4" s="50" t="s">
        <v>43</v>
      </c>
      <c r="I4" s="49" t="s">
        <v>45</v>
      </c>
      <c r="J4" s="50" t="s">
        <v>47</v>
      </c>
      <c r="K4" s="49" t="s">
        <v>49</v>
      </c>
      <c r="L4" s="50" t="s">
        <v>51</v>
      </c>
      <c r="M4" s="49" t="s">
        <v>53</v>
      </c>
      <c r="N4" s="50" t="s">
        <v>55</v>
      </c>
      <c r="O4" s="49" t="s">
        <v>57</v>
      </c>
      <c r="P4" s="8"/>
    </row>
    <row r="5" spans="1:16" ht="33.950000000000003" customHeight="1" x14ac:dyDescent="0.3">
      <c r="A5" s="6"/>
      <c r="B5" s="51" t="s">
        <v>7</v>
      </c>
      <c r="C5" s="36" t="s">
        <v>34</v>
      </c>
      <c r="D5" s="36" t="s">
        <v>36</v>
      </c>
      <c r="E5" s="36" t="s">
        <v>38</v>
      </c>
      <c r="F5" s="36" t="s">
        <v>40</v>
      </c>
      <c r="G5" s="36" t="s">
        <v>42</v>
      </c>
      <c r="H5" s="36" t="s">
        <v>44</v>
      </c>
      <c r="I5" s="36" t="s">
        <v>46</v>
      </c>
      <c r="J5" s="36" t="s">
        <v>48</v>
      </c>
      <c r="K5" s="36" t="s">
        <v>50</v>
      </c>
      <c r="L5" s="36" t="s">
        <v>52</v>
      </c>
      <c r="M5" s="36" t="s">
        <v>54</v>
      </c>
      <c r="N5" s="36" t="s">
        <v>56</v>
      </c>
      <c r="O5" s="36" t="s">
        <v>57</v>
      </c>
      <c r="P5" s="4"/>
    </row>
    <row r="6" spans="1:16" s="31" customFormat="1" ht="33.950000000000003" customHeight="1" x14ac:dyDescent="0.3">
      <c r="A6" s="26"/>
      <c r="B6" s="52" t="s">
        <v>8</v>
      </c>
      <c r="C6" s="63">
        <v>85000</v>
      </c>
      <c r="D6" s="63">
        <v>85000</v>
      </c>
      <c r="E6" s="63">
        <v>85000</v>
      </c>
      <c r="F6" s="63">
        <v>87500</v>
      </c>
      <c r="G6" s="63">
        <v>87500</v>
      </c>
      <c r="H6" s="63">
        <v>87500</v>
      </c>
      <c r="I6" s="63">
        <v>87500</v>
      </c>
      <c r="J6" s="63">
        <v>92400</v>
      </c>
      <c r="K6" s="63">
        <v>92400</v>
      </c>
      <c r="L6" s="63">
        <v>92400</v>
      </c>
      <c r="M6" s="63">
        <v>92400</v>
      </c>
      <c r="N6" s="63">
        <v>92400</v>
      </c>
      <c r="O6" s="63">
        <f>SUM(C6:N6)</f>
        <v>1067000</v>
      </c>
      <c r="P6" s="27"/>
    </row>
    <row r="7" spans="1:16" s="31" customFormat="1" ht="33.950000000000003" customHeight="1" x14ac:dyDescent="0.3">
      <c r="A7" s="26"/>
      <c r="B7" s="52" t="s">
        <v>9</v>
      </c>
      <c r="C7" s="63">
        <f t="shared" ref="C7:N7" si="0">C6*0.27</f>
        <v>22950</v>
      </c>
      <c r="D7" s="63">
        <f t="shared" si="0"/>
        <v>22950</v>
      </c>
      <c r="E7" s="63">
        <f t="shared" si="0"/>
        <v>22950</v>
      </c>
      <c r="F7" s="63">
        <f t="shared" si="0"/>
        <v>23625</v>
      </c>
      <c r="G7" s="63">
        <f t="shared" si="0"/>
        <v>23625</v>
      </c>
      <c r="H7" s="63">
        <f t="shared" si="0"/>
        <v>23625</v>
      </c>
      <c r="I7" s="63">
        <f t="shared" si="0"/>
        <v>23625</v>
      </c>
      <c r="J7" s="63">
        <f t="shared" si="0"/>
        <v>24948</v>
      </c>
      <c r="K7" s="63">
        <f t="shared" si="0"/>
        <v>24948</v>
      </c>
      <c r="L7" s="63">
        <f t="shared" si="0"/>
        <v>24948</v>
      </c>
      <c r="M7" s="63">
        <f t="shared" si="0"/>
        <v>24948</v>
      </c>
      <c r="N7" s="63">
        <f t="shared" si="0"/>
        <v>24948</v>
      </c>
      <c r="O7" s="63">
        <f>SUM(C7:N7)</f>
        <v>288090</v>
      </c>
      <c r="P7" s="27"/>
    </row>
    <row r="8" spans="1:16" s="31" customFormat="1" ht="33.950000000000003" customHeight="1" x14ac:dyDescent="0.3">
      <c r="A8" s="26"/>
      <c r="B8" s="52" t="s">
        <v>10</v>
      </c>
      <c r="C8" s="63">
        <f>SUBTOTAL(109,PlanejamentoDeFuncionários[Jan])</f>
        <v>107950</v>
      </c>
      <c r="D8" s="63">
        <f>SUBTOTAL(109,PlanejamentoDeFuncionários[Fev])</f>
        <v>107950</v>
      </c>
      <c r="E8" s="63">
        <f>SUBTOTAL(109,PlanejamentoDeFuncionários[Mar])</f>
        <v>107950</v>
      </c>
      <c r="F8" s="63">
        <f>SUBTOTAL(109,PlanejamentoDeFuncionários[Abr])</f>
        <v>111125</v>
      </c>
      <c r="G8" s="63">
        <f>SUBTOTAL(109,PlanejamentoDeFuncionários[Mai])</f>
        <v>111125</v>
      </c>
      <c r="H8" s="63">
        <f>SUBTOTAL(109,PlanejamentoDeFuncionários[Jun])</f>
        <v>111125</v>
      </c>
      <c r="I8" s="63">
        <f>SUBTOTAL(109,PlanejamentoDeFuncionários[Jul])</f>
        <v>111125</v>
      </c>
      <c r="J8" s="63">
        <f>SUBTOTAL(109,PlanejamentoDeFuncionários[Ago])</f>
        <v>117348</v>
      </c>
      <c r="K8" s="63">
        <f>SUBTOTAL(109,PlanejamentoDeFuncionários[Set])</f>
        <v>117348</v>
      </c>
      <c r="L8" s="63">
        <f>SUBTOTAL(109,PlanejamentoDeFuncionários[Out])</f>
        <v>117348</v>
      </c>
      <c r="M8" s="63">
        <f>SUBTOTAL(109,PlanejamentoDeFuncionários[Nov])</f>
        <v>117348</v>
      </c>
      <c r="N8" s="63">
        <f>SUBTOTAL(109,PlanejamentoDeFuncionários[Dez])</f>
        <v>117348</v>
      </c>
      <c r="O8" s="63">
        <f>SUBTOTAL(109,PlanejamentoDeFuncionários[ANO])</f>
        <v>1355090</v>
      </c>
      <c r="P8" s="27"/>
    </row>
    <row r="9" spans="1:16" ht="33.950000000000003" customHeight="1" x14ac:dyDescent="0.3">
      <c r="A9" s="6"/>
      <c r="B9" s="74"/>
      <c r="C9" s="74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4"/>
    </row>
    <row r="10" spans="1:16" ht="33.950000000000003" customHeight="1" x14ac:dyDescent="0.3">
      <c r="A10" s="6"/>
      <c r="B10" s="57" t="s">
        <v>11</v>
      </c>
      <c r="C10" s="37" t="s">
        <v>34</v>
      </c>
      <c r="D10" s="37" t="s">
        <v>36</v>
      </c>
      <c r="E10" s="37" t="s">
        <v>38</v>
      </c>
      <c r="F10" s="37" t="s">
        <v>40</v>
      </c>
      <c r="G10" s="37" t="s">
        <v>42</v>
      </c>
      <c r="H10" s="37" t="s">
        <v>44</v>
      </c>
      <c r="I10" s="37" t="s">
        <v>46</v>
      </c>
      <c r="J10" s="37" t="s">
        <v>48</v>
      </c>
      <c r="K10" s="37" t="s">
        <v>50</v>
      </c>
      <c r="L10" s="37" t="s">
        <v>52</v>
      </c>
      <c r="M10" s="37" t="s">
        <v>54</v>
      </c>
      <c r="N10" s="37" t="s">
        <v>56</v>
      </c>
      <c r="O10" s="38" t="s">
        <v>57</v>
      </c>
      <c r="P10" s="4"/>
    </row>
    <row r="11" spans="1:16" ht="33.950000000000003" customHeight="1" x14ac:dyDescent="0.3">
      <c r="A11" s="6"/>
      <c r="B11" s="53" t="s">
        <v>12</v>
      </c>
      <c r="C11" s="64">
        <v>9800</v>
      </c>
      <c r="D11" s="64">
        <v>9800</v>
      </c>
      <c r="E11" s="64">
        <v>9800</v>
      </c>
      <c r="F11" s="64">
        <v>9800</v>
      </c>
      <c r="G11" s="64">
        <v>9800</v>
      </c>
      <c r="H11" s="64">
        <v>9800</v>
      </c>
      <c r="I11" s="64">
        <v>9800</v>
      </c>
      <c r="J11" s="64">
        <v>9800</v>
      </c>
      <c r="K11" s="64">
        <v>9800</v>
      </c>
      <c r="L11" s="64">
        <v>9800</v>
      </c>
      <c r="M11" s="64">
        <v>9800</v>
      </c>
      <c r="N11" s="64">
        <v>9800</v>
      </c>
      <c r="O11" s="64">
        <f t="shared" ref="O11:O18" si="1">SUM(C11:N11)</f>
        <v>117600</v>
      </c>
      <c r="P11" s="4"/>
    </row>
    <row r="12" spans="1:16" ht="33.950000000000003" customHeight="1" x14ac:dyDescent="0.3">
      <c r="A12" s="6"/>
      <c r="B12" s="54" t="s">
        <v>13</v>
      </c>
      <c r="C12" s="65"/>
      <c r="D12" s="65">
        <v>400</v>
      </c>
      <c r="E12" s="65">
        <v>400</v>
      </c>
      <c r="F12" s="65">
        <v>100</v>
      </c>
      <c r="G12" s="65">
        <v>100</v>
      </c>
      <c r="H12" s="65">
        <v>100</v>
      </c>
      <c r="I12" s="65">
        <v>100</v>
      </c>
      <c r="J12" s="65">
        <v>100</v>
      </c>
      <c r="K12" s="65">
        <v>100</v>
      </c>
      <c r="L12" s="65">
        <v>100</v>
      </c>
      <c r="M12" s="65">
        <v>400</v>
      </c>
      <c r="N12" s="65">
        <v>400</v>
      </c>
      <c r="O12" s="65">
        <f t="shared" si="1"/>
        <v>2300</v>
      </c>
      <c r="P12" s="4"/>
    </row>
    <row r="13" spans="1:16" ht="33.950000000000003" customHeight="1" x14ac:dyDescent="0.3">
      <c r="A13" s="6"/>
      <c r="B13" s="54" t="s">
        <v>14</v>
      </c>
      <c r="C13" s="65">
        <v>300</v>
      </c>
      <c r="D13" s="65">
        <v>300</v>
      </c>
      <c r="E13" s="65">
        <v>300</v>
      </c>
      <c r="F13" s="65">
        <v>300</v>
      </c>
      <c r="G13" s="65">
        <v>300</v>
      </c>
      <c r="H13" s="65">
        <v>300</v>
      </c>
      <c r="I13" s="65">
        <v>300</v>
      </c>
      <c r="J13" s="65">
        <v>300</v>
      </c>
      <c r="K13" s="65">
        <v>300</v>
      </c>
      <c r="L13" s="65">
        <v>300</v>
      </c>
      <c r="M13" s="65">
        <v>300</v>
      </c>
      <c r="N13" s="65">
        <v>300</v>
      </c>
      <c r="O13" s="65">
        <f t="shared" si="1"/>
        <v>3600</v>
      </c>
      <c r="P13" s="4"/>
    </row>
    <row r="14" spans="1:16" ht="33.950000000000003" customHeight="1" x14ac:dyDescent="0.3">
      <c r="A14" s="6"/>
      <c r="B14" s="54" t="s">
        <v>15</v>
      </c>
      <c r="C14" s="65">
        <v>40</v>
      </c>
      <c r="D14" s="65">
        <v>40</v>
      </c>
      <c r="E14" s="65">
        <v>40</v>
      </c>
      <c r="F14" s="65">
        <v>40</v>
      </c>
      <c r="G14" s="65">
        <v>40</v>
      </c>
      <c r="H14" s="65">
        <v>40</v>
      </c>
      <c r="I14" s="65">
        <v>40</v>
      </c>
      <c r="J14" s="65">
        <v>40</v>
      </c>
      <c r="K14" s="65">
        <v>40</v>
      </c>
      <c r="L14" s="65">
        <v>40</v>
      </c>
      <c r="M14" s="65">
        <v>40</v>
      </c>
      <c r="N14" s="65">
        <v>40</v>
      </c>
      <c r="O14" s="65">
        <f t="shared" si="1"/>
        <v>480</v>
      </c>
      <c r="P14" s="4"/>
    </row>
    <row r="15" spans="1:16" ht="33.950000000000003" customHeight="1" x14ac:dyDescent="0.3">
      <c r="A15" s="6"/>
      <c r="B15" s="54" t="s">
        <v>16</v>
      </c>
      <c r="C15" s="65">
        <v>250</v>
      </c>
      <c r="D15" s="65">
        <v>250</v>
      </c>
      <c r="E15" s="65">
        <v>250</v>
      </c>
      <c r="F15" s="65">
        <v>250</v>
      </c>
      <c r="G15" s="65">
        <v>250</v>
      </c>
      <c r="H15" s="65">
        <v>250</v>
      </c>
      <c r="I15" s="65">
        <v>250</v>
      </c>
      <c r="J15" s="65">
        <v>250</v>
      </c>
      <c r="K15" s="65">
        <v>250</v>
      </c>
      <c r="L15" s="65">
        <v>250</v>
      </c>
      <c r="M15" s="65">
        <v>250</v>
      </c>
      <c r="N15" s="65">
        <v>250</v>
      </c>
      <c r="O15" s="65">
        <f t="shared" si="1"/>
        <v>3000</v>
      </c>
      <c r="P15" s="4"/>
    </row>
    <row r="16" spans="1:16" ht="33.950000000000003" customHeight="1" x14ac:dyDescent="0.3">
      <c r="A16" s="6"/>
      <c r="B16" s="54" t="s">
        <v>17</v>
      </c>
      <c r="C16" s="65">
        <v>180</v>
      </c>
      <c r="D16" s="65">
        <v>180</v>
      </c>
      <c r="E16" s="65">
        <v>180</v>
      </c>
      <c r="F16" s="65">
        <v>180</v>
      </c>
      <c r="G16" s="65">
        <v>180</v>
      </c>
      <c r="H16" s="65">
        <v>180</v>
      </c>
      <c r="I16" s="65">
        <v>180</v>
      </c>
      <c r="J16" s="65">
        <v>180</v>
      </c>
      <c r="K16" s="65">
        <v>180</v>
      </c>
      <c r="L16" s="65">
        <v>180</v>
      </c>
      <c r="M16" s="65">
        <v>180</v>
      </c>
      <c r="N16" s="65">
        <v>180</v>
      </c>
      <c r="O16" s="65">
        <f t="shared" si="1"/>
        <v>2160</v>
      </c>
      <c r="P16" s="4"/>
    </row>
    <row r="17" spans="1:16" ht="33.950000000000003" customHeight="1" x14ac:dyDescent="0.3">
      <c r="A17" s="6"/>
      <c r="B17" s="54" t="s">
        <v>18</v>
      </c>
      <c r="C17" s="65">
        <v>200</v>
      </c>
      <c r="D17" s="65">
        <v>200</v>
      </c>
      <c r="E17" s="65">
        <v>200</v>
      </c>
      <c r="F17" s="65">
        <v>200</v>
      </c>
      <c r="G17" s="65">
        <v>200</v>
      </c>
      <c r="H17" s="65">
        <v>200</v>
      </c>
      <c r="I17" s="65">
        <v>200</v>
      </c>
      <c r="J17" s="65">
        <v>200</v>
      </c>
      <c r="K17" s="65">
        <v>200</v>
      </c>
      <c r="L17" s="65">
        <v>200</v>
      </c>
      <c r="M17" s="65">
        <v>200</v>
      </c>
      <c r="N17" s="65">
        <v>200</v>
      </c>
      <c r="O17" s="65">
        <f t="shared" si="1"/>
        <v>2400</v>
      </c>
      <c r="P17" s="4"/>
    </row>
    <row r="18" spans="1:16" ht="33.950000000000003" customHeight="1" x14ac:dyDescent="0.3">
      <c r="A18" s="6"/>
      <c r="B18" s="54" t="s">
        <v>19</v>
      </c>
      <c r="C18" s="65">
        <v>600</v>
      </c>
      <c r="D18" s="65">
        <v>600</v>
      </c>
      <c r="E18" s="65">
        <v>600</v>
      </c>
      <c r="F18" s="65">
        <v>600</v>
      </c>
      <c r="G18" s="65">
        <v>600</v>
      </c>
      <c r="H18" s="65">
        <v>600</v>
      </c>
      <c r="I18" s="65">
        <v>600</v>
      </c>
      <c r="J18" s="65">
        <v>600</v>
      </c>
      <c r="K18" s="65">
        <v>600</v>
      </c>
      <c r="L18" s="65">
        <v>600</v>
      </c>
      <c r="M18" s="65">
        <v>600</v>
      </c>
      <c r="N18" s="65">
        <v>600</v>
      </c>
      <c r="O18" s="65">
        <f t="shared" si="1"/>
        <v>7200</v>
      </c>
      <c r="P18" s="4"/>
    </row>
    <row r="19" spans="1:16" ht="33.950000000000003" customHeight="1" x14ac:dyDescent="0.3">
      <c r="A19" s="6"/>
      <c r="B19" s="55" t="s">
        <v>10</v>
      </c>
      <c r="C19" s="66">
        <f>SUBTOTAL(109,PlanejamentoDoEscritório[Jan])</f>
        <v>11370</v>
      </c>
      <c r="D19" s="66">
        <f>SUBTOTAL(109,PlanejamentoDoEscritório[Fev])</f>
        <v>11770</v>
      </c>
      <c r="E19" s="66">
        <f>SUBTOTAL(109,PlanejamentoDoEscritório[Mar])</f>
        <v>11770</v>
      </c>
      <c r="F19" s="66">
        <f>SUBTOTAL(109,PlanejamentoDoEscritório[Abr])</f>
        <v>11470</v>
      </c>
      <c r="G19" s="66">
        <f>SUBTOTAL(109,PlanejamentoDoEscritório[Mai])</f>
        <v>11470</v>
      </c>
      <c r="H19" s="66">
        <f>SUBTOTAL(109,PlanejamentoDoEscritório[Jun])</f>
        <v>11470</v>
      </c>
      <c r="I19" s="66">
        <f>SUBTOTAL(109,PlanejamentoDoEscritório[Jul])</f>
        <v>11470</v>
      </c>
      <c r="J19" s="66">
        <f>SUBTOTAL(109,PlanejamentoDoEscritório[Ago])</f>
        <v>11470</v>
      </c>
      <c r="K19" s="66">
        <f>SUBTOTAL(109,PlanejamentoDoEscritório[Set])</f>
        <v>11470</v>
      </c>
      <c r="L19" s="66">
        <f>SUBTOTAL(109,PlanejamentoDoEscritório[Out])</f>
        <v>11470</v>
      </c>
      <c r="M19" s="66">
        <f>SUBTOTAL(109,PlanejamentoDoEscritório[Nov])</f>
        <v>11770</v>
      </c>
      <c r="N19" s="66">
        <f>SUBTOTAL(109,PlanejamentoDoEscritório[Dez])</f>
        <v>11770</v>
      </c>
      <c r="O19" s="66">
        <f>SUBTOTAL(109,PlanejamentoDoEscritório[ANO])</f>
        <v>138740</v>
      </c>
      <c r="P19" s="4"/>
    </row>
    <row r="20" spans="1:16" ht="33.950000000000003" customHeight="1" x14ac:dyDescent="0.3">
      <c r="A20" s="6"/>
      <c r="B20" s="73"/>
      <c r="C20" s="73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4"/>
    </row>
    <row r="21" spans="1:16" ht="33.950000000000003" customHeight="1" x14ac:dyDescent="0.3">
      <c r="A21" s="6"/>
      <c r="B21" s="56" t="s">
        <v>20</v>
      </c>
      <c r="C21" s="37" t="s">
        <v>34</v>
      </c>
      <c r="D21" s="37" t="s">
        <v>36</v>
      </c>
      <c r="E21" s="37" t="s">
        <v>38</v>
      </c>
      <c r="F21" s="37" t="s">
        <v>40</v>
      </c>
      <c r="G21" s="37" t="s">
        <v>42</v>
      </c>
      <c r="H21" s="37" t="s">
        <v>44</v>
      </c>
      <c r="I21" s="37" t="s">
        <v>46</v>
      </c>
      <c r="J21" s="37" t="s">
        <v>48</v>
      </c>
      <c r="K21" s="37" t="s">
        <v>50</v>
      </c>
      <c r="L21" s="37" t="s">
        <v>52</v>
      </c>
      <c r="M21" s="37" t="s">
        <v>54</v>
      </c>
      <c r="N21" s="37" t="s">
        <v>56</v>
      </c>
      <c r="O21" s="38" t="s">
        <v>57</v>
      </c>
      <c r="P21" s="4"/>
    </row>
    <row r="22" spans="1:16" ht="33.950000000000003" customHeight="1" x14ac:dyDescent="0.3">
      <c r="A22" s="6"/>
      <c r="B22" s="53" t="s">
        <v>21</v>
      </c>
      <c r="C22" s="64">
        <v>500</v>
      </c>
      <c r="D22" s="64">
        <v>500</v>
      </c>
      <c r="E22" s="64">
        <v>500</v>
      </c>
      <c r="F22" s="64">
        <v>500</v>
      </c>
      <c r="G22" s="64">
        <v>500</v>
      </c>
      <c r="H22" s="64">
        <v>500</v>
      </c>
      <c r="I22" s="64">
        <v>500</v>
      </c>
      <c r="J22" s="64">
        <v>500</v>
      </c>
      <c r="K22" s="64">
        <v>500</v>
      </c>
      <c r="L22" s="64">
        <v>500</v>
      </c>
      <c r="M22" s="64">
        <v>500</v>
      </c>
      <c r="N22" s="64">
        <v>500</v>
      </c>
      <c r="O22" s="64">
        <f t="shared" ref="O22:O27" si="2">SUM(C22:N22)</f>
        <v>6000</v>
      </c>
      <c r="P22" s="4"/>
    </row>
    <row r="23" spans="1:16" ht="33.950000000000003" customHeight="1" x14ac:dyDescent="0.3">
      <c r="A23" s="6"/>
      <c r="B23" s="54" t="s">
        <v>22</v>
      </c>
      <c r="C23" s="65">
        <v>200</v>
      </c>
      <c r="D23" s="65">
        <v>200</v>
      </c>
      <c r="E23" s="65">
        <v>200</v>
      </c>
      <c r="F23" s="65">
        <v>200</v>
      </c>
      <c r="G23" s="65">
        <v>200</v>
      </c>
      <c r="H23" s="65">
        <v>1000</v>
      </c>
      <c r="I23" s="65">
        <v>200</v>
      </c>
      <c r="J23" s="65">
        <v>200</v>
      </c>
      <c r="K23" s="65">
        <v>200</v>
      </c>
      <c r="L23" s="65">
        <v>200</v>
      </c>
      <c r="M23" s="65">
        <v>200</v>
      </c>
      <c r="N23" s="65">
        <v>1000</v>
      </c>
      <c r="O23" s="65">
        <f t="shared" si="2"/>
        <v>4000</v>
      </c>
      <c r="P23" s="4"/>
    </row>
    <row r="24" spans="1:16" ht="33.950000000000003" customHeight="1" x14ac:dyDescent="0.3">
      <c r="A24" s="6"/>
      <c r="B24" s="54" t="s">
        <v>23</v>
      </c>
      <c r="C24" s="65">
        <v>5000</v>
      </c>
      <c r="D24" s="65">
        <v>0</v>
      </c>
      <c r="E24" s="65">
        <v>0</v>
      </c>
      <c r="F24" s="65">
        <v>5000</v>
      </c>
      <c r="G24" s="65">
        <v>0</v>
      </c>
      <c r="H24" s="65">
        <v>0</v>
      </c>
      <c r="I24" s="65">
        <v>5000</v>
      </c>
      <c r="J24" s="65">
        <v>0</v>
      </c>
      <c r="K24" s="65">
        <v>0</v>
      </c>
      <c r="L24" s="65">
        <v>5000</v>
      </c>
      <c r="M24" s="65">
        <v>0</v>
      </c>
      <c r="N24" s="65">
        <v>0</v>
      </c>
      <c r="O24" s="65">
        <f t="shared" si="2"/>
        <v>20000</v>
      </c>
      <c r="P24" s="4"/>
    </row>
    <row r="25" spans="1:16" ht="33.950000000000003" customHeight="1" x14ac:dyDescent="0.3">
      <c r="A25" s="6"/>
      <c r="B25" s="54" t="s">
        <v>24</v>
      </c>
      <c r="C25" s="65">
        <v>200</v>
      </c>
      <c r="D25" s="65">
        <v>200</v>
      </c>
      <c r="E25" s="65">
        <v>200</v>
      </c>
      <c r="F25" s="65">
        <v>200</v>
      </c>
      <c r="G25" s="65">
        <v>200</v>
      </c>
      <c r="H25" s="65">
        <v>200</v>
      </c>
      <c r="I25" s="65">
        <v>200</v>
      </c>
      <c r="J25" s="65">
        <v>200</v>
      </c>
      <c r="K25" s="65">
        <v>200</v>
      </c>
      <c r="L25" s="65">
        <v>200</v>
      </c>
      <c r="M25" s="65">
        <v>200</v>
      </c>
      <c r="N25" s="65">
        <v>200</v>
      </c>
      <c r="O25" s="65">
        <f t="shared" si="2"/>
        <v>2400</v>
      </c>
      <c r="P25" s="4"/>
    </row>
    <row r="26" spans="1:16" ht="33.950000000000003" customHeight="1" x14ac:dyDescent="0.3">
      <c r="A26" s="6"/>
      <c r="B26" s="54" t="s">
        <v>25</v>
      </c>
      <c r="C26" s="65">
        <v>2000</v>
      </c>
      <c r="D26" s="65">
        <v>2000</v>
      </c>
      <c r="E26" s="65">
        <v>2000</v>
      </c>
      <c r="F26" s="65">
        <v>5000</v>
      </c>
      <c r="G26" s="65">
        <v>2000</v>
      </c>
      <c r="H26" s="65">
        <v>2000</v>
      </c>
      <c r="I26" s="65">
        <v>2000</v>
      </c>
      <c r="J26" s="65">
        <v>5000</v>
      </c>
      <c r="K26" s="65">
        <v>2000</v>
      </c>
      <c r="L26" s="65">
        <v>2000</v>
      </c>
      <c r="M26" s="65">
        <v>2000</v>
      </c>
      <c r="N26" s="65">
        <v>5000</v>
      </c>
      <c r="O26" s="65">
        <f t="shared" si="2"/>
        <v>33000</v>
      </c>
      <c r="P26" s="4"/>
    </row>
    <row r="27" spans="1:16" ht="33.950000000000003" customHeight="1" x14ac:dyDescent="0.3">
      <c r="A27" s="6"/>
      <c r="B27" s="54" t="s">
        <v>26</v>
      </c>
      <c r="C27" s="65">
        <v>200</v>
      </c>
      <c r="D27" s="65">
        <v>200</v>
      </c>
      <c r="E27" s="65">
        <v>200</v>
      </c>
      <c r="F27" s="65">
        <v>200</v>
      </c>
      <c r="G27" s="65">
        <v>200</v>
      </c>
      <c r="H27" s="65">
        <v>200</v>
      </c>
      <c r="I27" s="65">
        <v>200</v>
      </c>
      <c r="J27" s="65">
        <v>200</v>
      </c>
      <c r="K27" s="65">
        <v>200</v>
      </c>
      <c r="L27" s="65">
        <v>200</v>
      </c>
      <c r="M27" s="65">
        <v>200</v>
      </c>
      <c r="N27" s="65">
        <v>200</v>
      </c>
      <c r="O27" s="65">
        <f t="shared" si="2"/>
        <v>2400</v>
      </c>
      <c r="P27" s="4"/>
    </row>
    <row r="28" spans="1:16" ht="33.950000000000003" customHeight="1" x14ac:dyDescent="0.3">
      <c r="A28" s="6"/>
      <c r="B28" s="55" t="s">
        <v>10</v>
      </c>
      <c r="C28" s="66">
        <f>SUBTOTAL(109,PlanejamentoDeMarketing[Jan])</f>
        <v>8100</v>
      </c>
      <c r="D28" s="66">
        <f>SUBTOTAL(109,PlanejamentoDeMarketing[Fev])</f>
        <v>3100</v>
      </c>
      <c r="E28" s="66">
        <f>SUBTOTAL(109,PlanejamentoDeMarketing[Mar])</f>
        <v>3100</v>
      </c>
      <c r="F28" s="66">
        <f>SUBTOTAL(109,PlanejamentoDeMarketing[Abr])</f>
        <v>11100</v>
      </c>
      <c r="G28" s="66">
        <f>SUBTOTAL(109,PlanejamentoDeMarketing[Mai])</f>
        <v>3100</v>
      </c>
      <c r="H28" s="66">
        <f>SUBTOTAL(109,PlanejamentoDeMarketing[Jun])</f>
        <v>3900</v>
      </c>
      <c r="I28" s="66">
        <f>SUBTOTAL(109,PlanejamentoDeMarketing[Jul])</f>
        <v>8100</v>
      </c>
      <c r="J28" s="66">
        <f>SUBTOTAL(109,PlanejamentoDeMarketing[Ago])</f>
        <v>6100</v>
      </c>
      <c r="K28" s="66">
        <f>SUBTOTAL(109,PlanejamentoDeMarketing[Set])</f>
        <v>3100</v>
      </c>
      <c r="L28" s="66">
        <f>SUBTOTAL(109,PlanejamentoDeMarketing[Out])</f>
        <v>8100</v>
      </c>
      <c r="M28" s="66">
        <f>SUBTOTAL(109,PlanejamentoDeMarketing[Nov])</f>
        <v>3100</v>
      </c>
      <c r="N28" s="66">
        <f>SUBTOTAL(109,PlanejamentoDeMarketing[Dez])</f>
        <v>6900</v>
      </c>
      <c r="O28" s="66">
        <f>SUBTOTAL(109,PlanejamentoDeMarketing[ANO])</f>
        <v>67800</v>
      </c>
      <c r="P28" s="4"/>
    </row>
    <row r="29" spans="1:16" ht="33.950000000000003" customHeight="1" x14ac:dyDescent="0.3">
      <c r="A29" s="21"/>
      <c r="B29" s="22"/>
      <c r="C29" s="22"/>
      <c r="D29"/>
      <c r="E29"/>
      <c r="F29"/>
      <c r="G29"/>
      <c r="H29"/>
      <c r="I29"/>
      <c r="J29"/>
      <c r="K29"/>
      <c r="L29"/>
      <c r="M29"/>
      <c r="N29"/>
      <c r="O29"/>
    </row>
    <row r="30" spans="1:16" ht="33.950000000000003" customHeight="1" x14ac:dyDescent="0.3">
      <c r="A30" s="21"/>
      <c r="B30" s="56" t="s">
        <v>27</v>
      </c>
      <c r="C30" s="37" t="s">
        <v>34</v>
      </c>
      <c r="D30" s="37" t="s">
        <v>36</v>
      </c>
      <c r="E30" s="37" t="s">
        <v>38</v>
      </c>
      <c r="F30" s="37" t="s">
        <v>40</v>
      </c>
      <c r="G30" s="37" t="s">
        <v>42</v>
      </c>
      <c r="H30" s="37" t="s">
        <v>44</v>
      </c>
      <c r="I30" s="37" t="s">
        <v>46</v>
      </c>
      <c r="J30" s="37" t="s">
        <v>48</v>
      </c>
      <c r="K30" s="37" t="s">
        <v>50</v>
      </c>
      <c r="L30" s="37" t="s">
        <v>52</v>
      </c>
      <c r="M30" s="37" t="s">
        <v>54</v>
      </c>
      <c r="N30" s="37" t="s">
        <v>56</v>
      </c>
      <c r="O30" s="38" t="s">
        <v>57</v>
      </c>
      <c r="P30" s="4"/>
    </row>
    <row r="31" spans="1:16" ht="33.950000000000003" customHeight="1" x14ac:dyDescent="0.3">
      <c r="A31" s="6"/>
      <c r="B31" s="53" t="s">
        <v>28</v>
      </c>
      <c r="C31" s="64">
        <v>2000</v>
      </c>
      <c r="D31" s="64">
        <v>2000</v>
      </c>
      <c r="E31" s="64">
        <v>2000</v>
      </c>
      <c r="F31" s="64">
        <v>2000</v>
      </c>
      <c r="G31" s="64">
        <v>2000</v>
      </c>
      <c r="H31" s="64">
        <v>2000</v>
      </c>
      <c r="I31" s="64">
        <v>2000</v>
      </c>
      <c r="J31" s="64">
        <v>2000</v>
      </c>
      <c r="K31" s="64">
        <v>2000</v>
      </c>
      <c r="L31" s="64">
        <v>2000</v>
      </c>
      <c r="M31" s="64">
        <v>2000</v>
      </c>
      <c r="N31" s="64">
        <v>2000</v>
      </c>
      <c r="O31" s="64">
        <f>SUM(C31:N31)</f>
        <v>24000</v>
      </c>
      <c r="P31" s="4"/>
    </row>
    <row r="32" spans="1:16" ht="33.950000000000003" customHeight="1" x14ac:dyDescent="0.3">
      <c r="A32" s="6"/>
      <c r="B32" s="54" t="s">
        <v>29</v>
      </c>
      <c r="C32" s="65">
        <v>2000</v>
      </c>
      <c r="D32" s="65">
        <v>2000</v>
      </c>
      <c r="E32" s="65">
        <v>2000</v>
      </c>
      <c r="F32" s="65">
        <v>2000</v>
      </c>
      <c r="G32" s="65">
        <v>2000</v>
      </c>
      <c r="H32" s="65">
        <v>2000</v>
      </c>
      <c r="I32" s="65">
        <v>2000</v>
      </c>
      <c r="J32" s="65">
        <v>2000</v>
      </c>
      <c r="K32" s="65">
        <v>2000</v>
      </c>
      <c r="L32" s="65">
        <v>2000</v>
      </c>
      <c r="M32" s="65">
        <v>2000</v>
      </c>
      <c r="N32" s="65">
        <v>2000</v>
      </c>
      <c r="O32" s="65">
        <f>SUM(C32:N32)</f>
        <v>24000</v>
      </c>
      <c r="P32" s="4"/>
    </row>
    <row r="33" spans="1:16" ht="33.950000000000003" customHeight="1" x14ac:dyDescent="0.3">
      <c r="A33" s="6"/>
      <c r="B33" s="55" t="s">
        <v>10</v>
      </c>
      <c r="C33" s="66">
        <f>SUBTOTAL(109,PlanejamentoViagemETreinamento[Jan])</f>
        <v>4000</v>
      </c>
      <c r="D33" s="66">
        <f>SUBTOTAL(109,PlanejamentoViagemETreinamento[Fev])</f>
        <v>4000</v>
      </c>
      <c r="E33" s="66">
        <f>SUBTOTAL(109,PlanejamentoViagemETreinamento[Mar])</f>
        <v>4000</v>
      </c>
      <c r="F33" s="66">
        <f>SUBTOTAL(109,PlanejamentoViagemETreinamento[Abr])</f>
        <v>4000</v>
      </c>
      <c r="G33" s="66">
        <f>SUBTOTAL(109,PlanejamentoViagemETreinamento[Mai])</f>
        <v>4000</v>
      </c>
      <c r="H33" s="66">
        <f>SUBTOTAL(109,PlanejamentoViagemETreinamento[Jun])</f>
        <v>4000</v>
      </c>
      <c r="I33" s="66">
        <f>SUBTOTAL(109,PlanejamentoViagemETreinamento[Jul])</f>
        <v>4000</v>
      </c>
      <c r="J33" s="66">
        <f>SUBTOTAL(109,PlanejamentoViagemETreinamento[Ago])</f>
        <v>4000</v>
      </c>
      <c r="K33" s="66">
        <f>SUBTOTAL(109,PlanejamentoViagemETreinamento[Set])</f>
        <v>4000</v>
      </c>
      <c r="L33" s="66">
        <f>SUBTOTAL(109,PlanejamentoViagemETreinamento[Out])</f>
        <v>4000</v>
      </c>
      <c r="M33" s="66">
        <f>SUBTOTAL(109,PlanejamentoViagemETreinamento[Nov])</f>
        <v>4000</v>
      </c>
      <c r="N33" s="66">
        <f>SUBTOTAL(109,PlanejamentoViagemETreinamento[Dez])</f>
        <v>4000</v>
      </c>
      <c r="O33" s="66">
        <f>SUBTOTAL(109,PlanejamentoViagemETreinamento[ANO])</f>
        <v>48000</v>
      </c>
      <c r="P33" s="4"/>
    </row>
    <row r="34" spans="1:16" ht="33.950000000000003" customHeight="1" x14ac:dyDescent="0.3">
      <c r="A34" s="6"/>
      <c r="B34" s="73"/>
      <c r="C34" s="73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4"/>
    </row>
    <row r="35" spans="1:16" ht="33.950000000000003" customHeight="1" x14ac:dyDescent="0.3">
      <c r="A35" s="6"/>
      <c r="B35" s="56" t="s">
        <v>30</v>
      </c>
      <c r="C35" s="37" t="s">
        <v>34</v>
      </c>
      <c r="D35" s="37" t="s">
        <v>36</v>
      </c>
      <c r="E35" s="37" t="s">
        <v>38</v>
      </c>
      <c r="F35" s="37" t="s">
        <v>40</v>
      </c>
      <c r="G35" s="37" t="s">
        <v>42</v>
      </c>
      <c r="H35" s="37" t="s">
        <v>44</v>
      </c>
      <c r="I35" s="37" t="s">
        <v>46</v>
      </c>
      <c r="J35" s="37" t="s">
        <v>48</v>
      </c>
      <c r="K35" s="37" t="s">
        <v>50</v>
      </c>
      <c r="L35" s="37" t="s">
        <v>52</v>
      </c>
      <c r="M35" s="37" t="s">
        <v>54</v>
      </c>
      <c r="N35" s="37" t="s">
        <v>56</v>
      </c>
      <c r="O35" s="38" t="s">
        <v>58</v>
      </c>
      <c r="P35" s="4"/>
    </row>
    <row r="36" spans="1:16" ht="33.950000000000003" customHeight="1" x14ac:dyDescent="0.3">
      <c r="A36" s="6"/>
      <c r="B36" s="53" t="s">
        <v>31</v>
      </c>
      <c r="C36" s="67">
        <f>PlanejamentoViagemETreinamento[[#Totals],[Jan]]+PlanejamentoDeMarketing[[#Totals],[Jan]]+PlanejamentoDoEscritório[[#Totals],[Jan]]+PlanejamentoDeFuncionários[[#Totals],[Jan]]</f>
        <v>131420</v>
      </c>
      <c r="D36" s="67">
        <f>PlanejamentoViagemETreinamento[[#Totals],[Fev]]+PlanejamentoDeMarketing[[#Totals],[Fev]]+PlanejamentoDoEscritório[[#Totals],[Fev]]+PlanejamentoDeFuncionários[[#Totals],[Fev]]</f>
        <v>126820</v>
      </c>
      <c r="E36" s="67">
        <f>PlanejamentoViagemETreinamento[[#Totals],[Mar]]+PlanejamentoDeMarketing[[#Totals],[Mar]]+PlanejamentoDoEscritório[[#Totals],[Mar]]+PlanejamentoDeFuncionários[[#Totals],[Mar]]</f>
        <v>126820</v>
      </c>
      <c r="F36" s="67">
        <f>PlanejamentoViagemETreinamento[[#Totals],[Abr]]+PlanejamentoDeMarketing[[#Totals],[Abr]]+PlanejamentoDoEscritório[[#Totals],[Abr]]+PlanejamentoDeFuncionários[[#Totals],[Abr]]</f>
        <v>137695</v>
      </c>
      <c r="G36" s="67">
        <f>PlanejamentoViagemETreinamento[[#Totals],[Mai]]+PlanejamentoDeMarketing[[#Totals],[Mai]]+PlanejamentoDoEscritório[[#Totals],[Mai]]+PlanejamentoDeFuncionários[[#Totals],[Mai]]</f>
        <v>129695</v>
      </c>
      <c r="H36" s="67">
        <f>PlanejamentoViagemETreinamento[[#Totals],[Jun]]+PlanejamentoDeMarketing[[#Totals],[Jun]]+PlanejamentoDoEscritório[[#Totals],[Jun]]+PlanejamentoDeFuncionários[[#Totals],[Jun]]</f>
        <v>130495</v>
      </c>
      <c r="I36" s="67">
        <f>PlanejamentoViagemETreinamento[[#Totals],[Jul]]+PlanejamentoDeMarketing[[#Totals],[Jul]]+PlanejamentoDoEscritório[[#Totals],[Jul]]+PlanejamentoDeFuncionários[[#Totals],[Jul]]</f>
        <v>134695</v>
      </c>
      <c r="J36" s="67">
        <f>PlanejamentoViagemETreinamento[[#Totals],[Ago]]+PlanejamentoDeMarketing[[#Totals],[Ago]]+PlanejamentoDoEscritório[[#Totals],[Ago]]+PlanejamentoDeFuncionários[[#Totals],[Ago]]</f>
        <v>138918</v>
      </c>
      <c r="K36" s="67">
        <f>PlanejamentoViagemETreinamento[[#Totals],[Set]]+PlanejamentoDeMarketing[[#Totals],[Set]]+PlanejamentoDoEscritório[[#Totals],[Set]]+PlanejamentoDeFuncionários[[#Totals],[Set]]</f>
        <v>135918</v>
      </c>
      <c r="L36" s="67">
        <f>PlanejamentoViagemETreinamento[[#Totals],[Out]]+PlanejamentoDeMarketing[[#Totals],[Out]]+PlanejamentoDoEscritório[[#Totals],[Out]]+PlanejamentoDeFuncionários[[#Totals],[Out]]</f>
        <v>140918</v>
      </c>
      <c r="M36" s="67">
        <f>PlanejamentoViagemETreinamento[[#Totals],[Nov]]+PlanejamentoDeMarketing[[#Totals],[Nov]]+PlanejamentoDoEscritório[[#Totals],[Nov]]+PlanejamentoDeFuncionários[[#Totals],[Nov]]</f>
        <v>136218</v>
      </c>
      <c r="N36" s="67">
        <f>PlanejamentoViagemETreinamento[[#Totals],[Dez]]+PlanejamentoDeMarketing[[#Totals],[Dez]]+PlanejamentoDoEscritório[[#Totals],[Dez]]+PlanejamentoDeFuncionários[[#Totals],[Dez]]</f>
        <v>140018</v>
      </c>
      <c r="O36" s="67">
        <f>PlanejamentoViagemETreinamento[[#Totals],[ANO]]+PlanejamentoDeMarketing[[#Totals],[ANO]]+PlanejamentoDoEscritório[[#Totals],[ANO]]+PlanejamentoDeFuncionários[[#Totals],[ANO]]</f>
        <v>1609630</v>
      </c>
      <c r="P36" s="4"/>
    </row>
    <row r="37" spans="1:16" ht="33.950000000000003" customHeight="1" x14ac:dyDescent="0.3">
      <c r="A37" s="6"/>
      <c r="B37" s="55" t="s">
        <v>32</v>
      </c>
      <c r="C37" s="68">
        <f>SUM($C$36:C36)</f>
        <v>131420</v>
      </c>
      <c r="D37" s="68">
        <f>SUM($C$36:D36)</f>
        <v>258240</v>
      </c>
      <c r="E37" s="68">
        <f>SUM($C$36:E36)</f>
        <v>385060</v>
      </c>
      <c r="F37" s="68">
        <f>SUM($C$36:F36)</f>
        <v>522755</v>
      </c>
      <c r="G37" s="68">
        <f>SUM($C$36:G36)</f>
        <v>652450</v>
      </c>
      <c r="H37" s="68">
        <f>SUM($C$36:H36)</f>
        <v>782945</v>
      </c>
      <c r="I37" s="68">
        <f>SUM($C$36:I36)</f>
        <v>917640</v>
      </c>
      <c r="J37" s="68">
        <f>SUM($C$36:J36)</f>
        <v>1056558</v>
      </c>
      <c r="K37" s="68">
        <f>SUM($C$36:K36)</f>
        <v>1192476</v>
      </c>
      <c r="L37" s="68">
        <f>SUM($C$36:L36)</f>
        <v>1333394</v>
      </c>
      <c r="M37" s="68">
        <f>SUM($C$36:M36)</f>
        <v>1469612</v>
      </c>
      <c r="N37" s="68">
        <f>SUM($C$36:N36)</f>
        <v>1609630</v>
      </c>
      <c r="O37" s="68"/>
      <c r="P37" s="4"/>
    </row>
    <row r="38" spans="1:16" ht="33.950000000000003" customHeight="1" x14ac:dyDescent="0.3">
      <c r="A38" s="6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</row>
  </sheetData>
  <mergeCells count="4">
    <mergeCell ref="B1:O3"/>
    <mergeCell ref="B34:C34"/>
    <mergeCell ref="B20:C20"/>
    <mergeCell ref="B9:C9"/>
  </mergeCells>
  <pageMargins left="0.7" right="0.7" top="0.75" bottom="0.75" header="0.3" footer="0.3"/>
  <pageSetup paperSize="9" fitToHeight="0" orientation="portrait" r:id="rId1"/>
  <ignoredErrors>
    <ignoredError sqref="C36:O37 C6:N6" calculatedColumn="1"/>
    <ignoredError sqref="O12" emptyCellReference="1"/>
  </ignoredErrors>
  <drawing r:id="rId2"/>
  <tableParts count="5">
    <tablePart r:id="rId3"/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theme="5"/>
    <pageSetUpPr autoPageBreaks="0"/>
  </sheetPr>
  <dimension ref="A1:P38"/>
  <sheetViews>
    <sheetView showGridLines="0" zoomScaleNormal="100" workbookViewId="0"/>
  </sheetViews>
  <sheetFormatPr defaultColWidth="8.85546875" defaultRowHeight="33.950000000000003" customHeight="1" x14ac:dyDescent="0.3"/>
  <cols>
    <col min="1" max="1" width="2.7109375" style="20" customWidth="1"/>
    <col min="2" max="2" width="46.7109375" style="23" customWidth="1"/>
    <col min="3" max="15" width="16.7109375" style="23" customWidth="1"/>
    <col min="16" max="16" width="2.7109375" style="20" customWidth="1"/>
    <col min="17" max="16384" width="8.85546875" style="23"/>
  </cols>
  <sheetData>
    <row r="1" spans="1:16" s="20" customFormat="1" ht="24" customHeight="1" x14ac:dyDescent="0.3">
      <c r="A1" s="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3"/>
    </row>
    <row r="2" spans="1:16" s="20" customFormat="1" ht="45" customHeight="1" x14ac:dyDescent="0.3">
      <c r="A2" s="5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"/>
    </row>
    <row r="3" spans="1:16" s="20" customFormat="1" ht="79.150000000000006" customHeight="1" x14ac:dyDescent="0.3">
      <c r="A3" s="5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"/>
    </row>
    <row r="4" spans="1:16" s="28" customFormat="1" ht="49.5" customHeight="1" x14ac:dyDescent="0.3">
      <c r="A4" s="6"/>
      <c r="B4" s="34" t="s">
        <v>59</v>
      </c>
      <c r="C4" s="49" t="s">
        <v>33</v>
      </c>
      <c r="D4" s="50" t="s">
        <v>35</v>
      </c>
      <c r="E4" s="49" t="s">
        <v>37</v>
      </c>
      <c r="F4" s="50" t="s">
        <v>39</v>
      </c>
      <c r="G4" s="49" t="s">
        <v>41</v>
      </c>
      <c r="H4" s="50" t="s">
        <v>43</v>
      </c>
      <c r="I4" s="49" t="s">
        <v>45</v>
      </c>
      <c r="J4" s="50" t="s">
        <v>47</v>
      </c>
      <c r="K4" s="49" t="s">
        <v>49</v>
      </c>
      <c r="L4" s="50" t="s">
        <v>51</v>
      </c>
      <c r="M4" s="49" t="s">
        <v>53</v>
      </c>
      <c r="N4" s="50" t="s">
        <v>55</v>
      </c>
      <c r="O4" s="49" t="s">
        <v>57</v>
      </c>
      <c r="P4" s="7"/>
    </row>
    <row r="5" spans="1:16" ht="33.950000000000003" customHeight="1" x14ac:dyDescent="0.3">
      <c r="A5" s="6"/>
      <c r="B5" s="39" t="s">
        <v>7</v>
      </c>
      <c r="C5" s="40" t="s">
        <v>34</v>
      </c>
      <c r="D5" s="40" t="s">
        <v>36</v>
      </c>
      <c r="E5" s="40" t="s">
        <v>38</v>
      </c>
      <c r="F5" s="40" t="s">
        <v>40</v>
      </c>
      <c r="G5" s="40" t="s">
        <v>42</v>
      </c>
      <c r="H5" s="40" t="s">
        <v>44</v>
      </c>
      <c r="I5" s="40" t="s">
        <v>46</v>
      </c>
      <c r="J5" s="40" t="s">
        <v>48</v>
      </c>
      <c r="K5" s="40" t="s">
        <v>50</v>
      </c>
      <c r="L5" s="40" t="s">
        <v>52</v>
      </c>
      <c r="M5" s="40" t="s">
        <v>54</v>
      </c>
      <c r="N5" s="40" t="s">
        <v>56</v>
      </c>
      <c r="O5" s="40" t="s">
        <v>57</v>
      </c>
      <c r="P5" s="4"/>
    </row>
    <row r="6" spans="1:16" s="30" customFormat="1" ht="33.950000000000003" customHeight="1" x14ac:dyDescent="0.3">
      <c r="A6" s="26"/>
      <c r="B6" s="58" t="s">
        <v>8</v>
      </c>
      <c r="C6" s="63">
        <v>85000</v>
      </c>
      <c r="D6" s="63">
        <v>85000</v>
      </c>
      <c r="E6" s="63">
        <v>85000</v>
      </c>
      <c r="F6" s="63">
        <v>88000</v>
      </c>
      <c r="G6" s="63">
        <v>88000</v>
      </c>
      <c r="H6" s="63">
        <v>88000</v>
      </c>
      <c r="I6" s="63"/>
      <c r="J6" s="63"/>
      <c r="K6" s="63"/>
      <c r="L6" s="63"/>
      <c r="M6" s="63"/>
      <c r="N6" s="63"/>
      <c r="O6" s="63">
        <f>SUM(C6:N6)</f>
        <v>519000</v>
      </c>
      <c r="P6" s="27"/>
    </row>
    <row r="7" spans="1:16" s="30" customFormat="1" ht="33.950000000000003" customHeight="1" x14ac:dyDescent="0.3">
      <c r="A7" s="26"/>
      <c r="B7" s="58" t="s">
        <v>9</v>
      </c>
      <c r="C7" s="63">
        <f t="shared" ref="C7:N7" si="0">C6*0.27</f>
        <v>22950</v>
      </c>
      <c r="D7" s="63">
        <f t="shared" si="0"/>
        <v>22950</v>
      </c>
      <c r="E7" s="63">
        <f t="shared" si="0"/>
        <v>22950</v>
      </c>
      <c r="F7" s="63">
        <f t="shared" si="0"/>
        <v>23760</v>
      </c>
      <c r="G7" s="63">
        <f t="shared" si="0"/>
        <v>23760</v>
      </c>
      <c r="H7" s="63">
        <f t="shared" si="0"/>
        <v>23760</v>
      </c>
      <c r="I7" s="63">
        <f t="shared" si="0"/>
        <v>0</v>
      </c>
      <c r="J7" s="63">
        <f t="shared" si="0"/>
        <v>0</v>
      </c>
      <c r="K7" s="63">
        <f t="shared" si="0"/>
        <v>0</v>
      </c>
      <c r="L7" s="63">
        <f t="shared" si="0"/>
        <v>0</v>
      </c>
      <c r="M7" s="63">
        <f t="shared" si="0"/>
        <v>0</v>
      </c>
      <c r="N7" s="63">
        <f t="shared" si="0"/>
        <v>0</v>
      </c>
      <c r="O7" s="63">
        <f>SUM(C7:N7)</f>
        <v>140130</v>
      </c>
      <c r="P7" s="27"/>
    </row>
    <row r="8" spans="1:16" s="30" customFormat="1" ht="33.950000000000003" customHeight="1" x14ac:dyDescent="0.3">
      <c r="A8" s="26"/>
      <c r="B8" s="58" t="s">
        <v>10</v>
      </c>
      <c r="C8" s="63">
        <f>SUBTOTAL(109,RealFuncionários[Jan])</f>
        <v>107950</v>
      </c>
      <c r="D8" s="63">
        <f>SUBTOTAL(109,RealFuncionários[Fev])</f>
        <v>107950</v>
      </c>
      <c r="E8" s="63">
        <f>SUBTOTAL(109,RealFuncionários[Mar])</f>
        <v>107950</v>
      </c>
      <c r="F8" s="63">
        <f>SUBTOTAL(109,RealFuncionários[Abr])</f>
        <v>111760</v>
      </c>
      <c r="G8" s="63">
        <f>SUBTOTAL(109,RealFuncionários[Mai])</f>
        <v>111760</v>
      </c>
      <c r="H8" s="63">
        <f>SUBTOTAL(109,RealFuncionários[Jun])</f>
        <v>111760</v>
      </c>
      <c r="I8" s="63">
        <f>SUBTOTAL(109,RealFuncionários[Jul])</f>
        <v>0</v>
      </c>
      <c r="J8" s="63">
        <f>SUBTOTAL(109,RealFuncionários[Ago])</f>
        <v>0</v>
      </c>
      <c r="K8" s="63">
        <f>SUBTOTAL(109,RealFuncionários[Set])</f>
        <v>0</v>
      </c>
      <c r="L8" s="63">
        <f>SUBTOTAL(109,RealFuncionários[Out])</f>
        <v>0</v>
      </c>
      <c r="M8" s="63">
        <f>SUBTOTAL(109,RealFuncionários[Nov])</f>
        <v>0</v>
      </c>
      <c r="N8" s="63">
        <f>SUBTOTAL(109,RealFuncionários[Dez])</f>
        <v>0</v>
      </c>
      <c r="O8" s="63">
        <f>SUBTOTAL(109,RealFuncionários[ANO])</f>
        <v>659130</v>
      </c>
      <c r="P8" s="27"/>
    </row>
    <row r="9" spans="1:16" s="20" customFormat="1" ht="33.950000000000003" customHeight="1" x14ac:dyDescent="0.3">
      <c r="A9" s="6"/>
      <c r="B9" s="74"/>
      <c r="C9" s="74"/>
      <c r="D9" s="74"/>
      <c r="E9" s="74"/>
      <c r="F9" s="9"/>
      <c r="G9" s="9"/>
      <c r="H9" s="9"/>
      <c r="I9" s="9"/>
      <c r="J9" s="9"/>
      <c r="K9" s="9"/>
      <c r="L9" s="9"/>
      <c r="M9" s="9"/>
      <c r="N9" s="9"/>
      <c r="O9" s="9"/>
      <c r="P9" s="4"/>
    </row>
    <row r="10" spans="1:16" ht="33.950000000000003" customHeight="1" x14ac:dyDescent="0.3">
      <c r="A10" s="6"/>
      <c r="B10" s="59" t="s">
        <v>11</v>
      </c>
      <c r="C10" s="40" t="s">
        <v>34</v>
      </c>
      <c r="D10" s="40" t="s">
        <v>36</v>
      </c>
      <c r="E10" s="40" t="s">
        <v>38</v>
      </c>
      <c r="F10" s="40" t="s">
        <v>40</v>
      </c>
      <c r="G10" s="40" t="s">
        <v>42</v>
      </c>
      <c r="H10" s="40" t="s">
        <v>44</v>
      </c>
      <c r="I10" s="40" t="s">
        <v>46</v>
      </c>
      <c r="J10" s="40" t="s">
        <v>48</v>
      </c>
      <c r="K10" s="40" t="s">
        <v>50</v>
      </c>
      <c r="L10" s="40" t="s">
        <v>52</v>
      </c>
      <c r="M10" s="40" t="s">
        <v>54</v>
      </c>
      <c r="N10" s="40" t="s">
        <v>56</v>
      </c>
      <c r="O10" s="40" t="s">
        <v>57</v>
      </c>
      <c r="P10" s="4"/>
    </row>
    <row r="11" spans="1:16" ht="33.950000000000003" customHeight="1" x14ac:dyDescent="0.3">
      <c r="A11" s="6"/>
      <c r="B11" s="58" t="s">
        <v>12</v>
      </c>
      <c r="C11" s="63">
        <v>9800</v>
      </c>
      <c r="D11" s="63">
        <v>9800</v>
      </c>
      <c r="E11" s="63">
        <v>9800</v>
      </c>
      <c r="F11" s="63">
        <v>9800</v>
      </c>
      <c r="G11" s="63">
        <v>9800</v>
      </c>
      <c r="H11" s="63">
        <v>9800</v>
      </c>
      <c r="I11" s="63"/>
      <c r="J11" s="63"/>
      <c r="K11" s="63"/>
      <c r="L11" s="63"/>
      <c r="M11" s="63"/>
      <c r="N11" s="63"/>
      <c r="O11" s="63">
        <f t="shared" ref="O11:O18" si="1">SUM(C11:N11)</f>
        <v>58800</v>
      </c>
      <c r="P11" s="4"/>
    </row>
    <row r="12" spans="1:16" ht="33.950000000000003" customHeight="1" x14ac:dyDescent="0.3">
      <c r="A12" s="6"/>
      <c r="B12" s="58" t="s">
        <v>13</v>
      </c>
      <c r="C12" s="63">
        <v>4</v>
      </c>
      <c r="D12" s="63">
        <v>430</v>
      </c>
      <c r="E12" s="63">
        <v>385</v>
      </c>
      <c r="F12" s="63">
        <v>230</v>
      </c>
      <c r="G12" s="63">
        <v>87</v>
      </c>
      <c r="H12" s="63">
        <v>88</v>
      </c>
      <c r="I12" s="63"/>
      <c r="J12" s="63"/>
      <c r="K12" s="63"/>
      <c r="L12" s="63"/>
      <c r="M12" s="63"/>
      <c r="N12" s="63"/>
      <c r="O12" s="63">
        <f t="shared" si="1"/>
        <v>1224</v>
      </c>
      <c r="P12" s="4"/>
    </row>
    <row r="13" spans="1:16" ht="33.950000000000003" customHeight="1" x14ac:dyDescent="0.3">
      <c r="A13" s="6"/>
      <c r="B13" s="58" t="s">
        <v>14</v>
      </c>
      <c r="C13" s="63">
        <v>288</v>
      </c>
      <c r="D13" s="63">
        <v>278</v>
      </c>
      <c r="E13" s="63">
        <v>268</v>
      </c>
      <c r="F13" s="63">
        <v>299</v>
      </c>
      <c r="G13" s="63">
        <v>306</v>
      </c>
      <c r="H13" s="63">
        <v>290</v>
      </c>
      <c r="I13" s="63"/>
      <c r="J13" s="63"/>
      <c r="K13" s="63"/>
      <c r="L13" s="63"/>
      <c r="M13" s="63"/>
      <c r="N13" s="63"/>
      <c r="O13" s="63">
        <f t="shared" si="1"/>
        <v>1729</v>
      </c>
      <c r="P13" s="4"/>
    </row>
    <row r="14" spans="1:16" ht="33.950000000000003" customHeight="1" x14ac:dyDescent="0.3">
      <c r="A14" s="6"/>
      <c r="B14" s="58" t="s">
        <v>15</v>
      </c>
      <c r="C14" s="63">
        <v>35</v>
      </c>
      <c r="D14" s="63">
        <v>33</v>
      </c>
      <c r="E14" s="63">
        <v>34</v>
      </c>
      <c r="F14" s="63">
        <v>36</v>
      </c>
      <c r="G14" s="63">
        <v>34</v>
      </c>
      <c r="H14" s="63">
        <v>36</v>
      </c>
      <c r="I14" s="63"/>
      <c r="J14" s="63"/>
      <c r="K14" s="63"/>
      <c r="L14" s="63"/>
      <c r="M14" s="63"/>
      <c r="N14" s="63"/>
      <c r="O14" s="63">
        <f>SUM(C14:N14)</f>
        <v>208</v>
      </c>
      <c r="P14" s="4"/>
    </row>
    <row r="15" spans="1:16" ht="33.950000000000003" customHeight="1" x14ac:dyDescent="0.3">
      <c r="A15" s="6"/>
      <c r="B15" s="58" t="s">
        <v>16</v>
      </c>
      <c r="C15" s="63">
        <v>224</v>
      </c>
      <c r="D15" s="63">
        <v>235</v>
      </c>
      <c r="E15" s="63">
        <v>265</v>
      </c>
      <c r="F15" s="63">
        <v>245</v>
      </c>
      <c r="G15" s="63">
        <v>245</v>
      </c>
      <c r="H15" s="63">
        <v>220</v>
      </c>
      <c r="I15" s="63"/>
      <c r="J15" s="63"/>
      <c r="K15" s="63"/>
      <c r="L15" s="63"/>
      <c r="M15" s="63"/>
      <c r="N15" s="63"/>
      <c r="O15" s="63">
        <f t="shared" si="1"/>
        <v>1434</v>
      </c>
      <c r="P15" s="4"/>
    </row>
    <row r="16" spans="1:16" ht="33.950000000000003" customHeight="1" x14ac:dyDescent="0.3">
      <c r="A16" s="6"/>
      <c r="B16" s="58" t="s">
        <v>17</v>
      </c>
      <c r="C16" s="63">
        <v>180</v>
      </c>
      <c r="D16" s="63">
        <v>180</v>
      </c>
      <c r="E16" s="63">
        <v>180</v>
      </c>
      <c r="F16" s="63">
        <v>180</v>
      </c>
      <c r="G16" s="63">
        <v>180</v>
      </c>
      <c r="H16" s="63">
        <v>180</v>
      </c>
      <c r="I16" s="63"/>
      <c r="J16" s="63"/>
      <c r="K16" s="63"/>
      <c r="L16" s="63"/>
      <c r="M16" s="63"/>
      <c r="N16" s="63"/>
      <c r="O16" s="63">
        <f t="shared" si="1"/>
        <v>1080</v>
      </c>
      <c r="P16" s="4"/>
    </row>
    <row r="17" spans="1:16" ht="33.950000000000003" customHeight="1" x14ac:dyDescent="0.3">
      <c r="A17" s="6"/>
      <c r="B17" s="58" t="s">
        <v>18</v>
      </c>
      <c r="C17" s="63">
        <v>256</v>
      </c>
      <c r="D17" s="63">
        <v>142</v>
      </c>
      <c r="E17" s="63">
        <v>160</v>
      </c>
      <c r="F17" s="63">
        <v>221</v>
      </c>
      <c r="G17" s="63">
        <v>256</v>
      </c>
      <c r="H17" s="63">
        <v>240</v>
      </c>
      <c r="I17" s="63"/>
      <c r="J17" s="63"/>
      <c r="K17" s="63"/>
      <c r="L17" s="63"/>
      <c r="M17" s="63"/>
      <c r="N17" s="63"/>
      <c r="O17" s="63">
        <f t="shared" si="1"/>
        <v>1275</v>
      </c>
      <c r="P17" s="4"/>
    </row>
    <row r="18" spans="1:16" ht="33.950000000000003" customHeight="1" x14ac:dyDescent="0.3">
      <c r="A18" s="6"/>
      <c r="B18" s="58" t="s">
        <v>19</v>
      </c>
      <c r="C18" s="63">
        <v>600</v>
      </c>
      <c r="D18" s="63">
        <v>600</v>
      </c>
      <c r="E18" s="63">
        <v>600</v>
      </c>
      <c r="F18" s="63">
        <v>600</v>
      </c>
      <c r="G18" s="63">
        <v>600</v>
      </c>
      <c r="H18" s="63">
        <v>600</v>
      </c>
      <c r="I18" s="63"/>
      <c r="J18" s="63"/>
      <c r="K18" s="63"/>
      <c r="L18" s="63"/>
      <c r="M18" s="63"/>
      <c r="N18" s="63"/>
      <c r="O18" s="63">
        <f t="shared" si="1"/>
        <v>3600</v>
      </c>
      <c r="P18" s="4"/>
    </row>
    <row r="19" spans="1:16" ht="33.950000000000003" customHeight="1" x14ac:dyDescent="0.3">
      <c r="A19" s="6"/>
      <c r="B19" s="58" t="s">
        <v>10</v>
      </c>
      <c r="C19" s="63">
        <f>SUBTOTAL(109,RealEscritório[Jan])</f>
        <v>11387</v>
      </c>
      <c r="D19" s="63">
        <f>SUBTOTAL(109,RealEscritório[Fev])</f>
        <v>11698</v>
      </c>
      <c r="E19" s="63">
        <f>SUBTOTAL(109,RealEscritório[Mar])</f>
        <v>11692</v>
      </c>
      <c r="F19" s="63">
        <f>SUBTOTAL(109,RealEscritório[Abr])</f>
        <v>11611</v>
      </c>
      <c r="G19" s="63">
        <f>SUBTOTAL(109,RealEscritório[Mai])</f>
        <v>11508</v>
      </c>
      <c r="H19" s="63">
        <f>SUBTOTAL(109,RealEscritório[Jun])</f>
        <v>11454</v>
      </c>
      <c r="I19" s="63">
        <f>SUBTOTAL(109,RealEscritório[Jul])</f>
        <v>0</v>
      </c>
      <c r="J19" s="63">
        <f>SUBTOTAL(109,RealEscritório[Ago])</f>
        <v>0</v>
      </c>
      <c r="K19" s="63">
        <f>SUBTOTAL(109,RealEscritório[Set])</f>
        <v>0</v>
      </c>
      <c r="L19" s="63">
        <f>SUBTOTAL(109,RealEscritório[Out])</f>
        <v>0</v>
      </c>
      <c r="M19" s="63">
        <f>SUBTOTAL(109,RealEscritório[Nov])</f>
        <v>0</v>
      </c>
      <c r="N19" s="63">
        <f>SUBTOTAL(109,RealEscritório[Dez])</f>
        <v>0</v>
      </c>
      <c r="O19" s="63">
        <f>SUBTOTAL(109,RealEscritório[ANO])</f>
        <v>69350</v>
      </c>
      <c r="P19" s="4"/>
    </row>
    <row r="20" spans="1:16" ht="33.950000000000003" customHeight="1" x14ac:dyDescent="0.3">
      <c r="A20" s="6"/>
      <c r="B20" s="77"/>
      <c r="C20" s="77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4"/>
    </row>
    <row r="21" spans="1:16" ht="33.950000000000003" customHeight="1" x14ac:dyDescent="0.3">
      <c r="A21" s="6"/>
      <c r="B21" s="51" t="s">
        <v>20</v>
      </c>
      <c r="C21" s="41" t="s">
        <v>34</v>
      </c>
      <c r="D21" s="41" t="s">
        <v>36</v>
      </c>
      <c r="E21" s="41" t="s">
        <v>38</v>
      </c>
      <c r="F21" s="41" t="s">
        <v>40</v>
      </c>
      <c r="G21" s="41" t="s">
        <v>42</v>
      </c>
      <c r="H21" s="41" t="s">
        <v>44</v>
      </c>
      <c r="I21" s="41" t="s">
        <v>46</v>
      </c>
      <c r="J21" s="41" t="s">
        <v>48</v>
      </c>
      <c r="K21" s="41" t="s">
        <v>50</v>
      </c>
      <c r="L21" s="41" t="s">
        <v>52</v>
      </c>
      <c r="M21" s="41" t="s">
        <v>54</v>
      </c>
      <c r="N21" s="41" t="s">
        <v>56</v>
      </c>
      <c r="O21" s="42" t="s">
        <v>57</v>
      </c>
      <c r="P21" s="4"/>
    </row>
    <row r="22" spans="1:16" ht="33.950000000000003" customHeight="1" x14ac:dyDescent="0.3">
      <c r="A22" s="6"/>
      <c r="B22" s="53" t="s">
        <v>21</v>
      </c>
      <c r="C22" s="64">
        <v>500</v>
      </c>
      <c r="D22" s="64">
        <v>500</v>
      </c>
      <c r="E22" s="64">
        <v>500</v>
      </c>
      <c r="F22" s="64">
        <v>500</v>
      </c>
      <c r="G22" s="64">
        <v>500</v>
      </c>
      <c r="H22" s="64">
        <v>500</v>
      </c>
      <c r="I22" s="64"/>
      <c r="J22" s="64"/>
      <c r="K22" s="64"/>
      <c r="L22" s="64"/>
      <c r="M22" s="64"/>
      <c r="N22" s="64"/>
      <c r="O22" s="64">
        <f t="shared" ref="O22:O27" si="2">SUM(C22:N22)</f>
        <v>3000</v>
      </c>
      <c r="P22" s="4"/>
    </row>
    <row r="23" spans="1:16" ht="33.950000000000003" customHeight="1" x14ac:dyDescent="0.3">
      <c r="A23" s="6"/>
      <c r="B23" s="54" t="s">
        <v>22</v>
      </c>
      <c r="C23" s="65">
        <v>200</v>
      </c>
      <c r="D23" s="65">
        <v>200</v>
      </c>
      <c r="E23" s="65">
        <v>200</v>
      </c>
      <c r="F23" s="65">
        <v>200</v>
      </c>
      <c r="G23" s="65">
        <v>200</v>
      </c>
      <c r="H23" s="65">
        <v>1500</v>
      </c>
      <c r="I23" s="65"/>
      <c r="J23" s="65"/>
      <c r="K23" s="65"/>
      <c r="L23" s="65"/>
      <c r="M23" s="65"/>
      <c r="N23" s="65"/>
      <c r="O23" s="65">
        <f t="shared" si="2"/>
        <v>2500</v>
      </c>
      <c r="P23" s="4"/>
    </row>
    <row r="24" spans="1:16" ht="33.950000000000003" customHeight="1" x14ac:dyDescent="0.3">
      <c r="A24" s="6"/>
      <c r="B24" s="54" t="s">
        <v>23</v>
      </c>
      <c r="C24" s="65">
        <v>4800</v>
      </c>
      <c r="D24" s="65">
        <v>0</v>
      </c>
      <c r="E24" s="65">
        <v>0</v>
      </c>
      <c r="F24" s="65">
        <v>5500</v>
      </c>
      <c r="G24" s="65">
        <v>0</v>
      </c>
      <c r="H24" s="65">
        <v>0</v>
      </c>
      <c r="I24" s="65"/>
      <c r="J24" s="65"/>
      <c r="K24" s="65"/>
      <c r="L24" s="65"/>
      <c r="M24" s="65"/>
      <c r="N24" s="65"/>
      <c r="O24" s="65">
        <f t="shared" si="2"/>
        <v>10300</v>
      </c>
      <c r="P24" s="4"/>
    </row>
    <row r="25" spans="1:16" ht="33.950000000000003" customHeight="1" x14ac:dyDescent="0.3">
      <c r="A25" s="6"/>
      <c r="B25" s="54" t="s">
        <v>24</v>
      </c>
      <c r="C25" s="65">
        <v>100</v>
      </c>
      <c r="D25" s="65">
        <v>500</v>
      </c>
      <c r="E25" s="65">
        <v>100</v>
      </c>
      <c r="F25" s="65">
        <v>100</v>
      </c>
      <c r="G25" s="65">
        <v>600</v>
      </c>
      <c r="H25" s="65">
        <v>180</v>
      </c>
      <c r="I25" s="65"/>
      <c r="J25" s="65"/>
      <c r="K25" s="65"/>
      <c r="L25" s="65"/>
      <c r="M25" s="65"/>
      <c r="N25" s="65"/>
      <c r="O25" s="65">
        <f t="shared" si="2"/>
        <v>1580</v>
      </c>
      <c r="P25" s="4"/>
    </row>
    <row r="26" spans="1:16" ht="33.950000000000003" customHeight="1" x14ac:dyDescent="0.3">
      <c r="A26" s="6"/>
      <c r="B26" s="54" t="s">
        <v>25</v>
      </c>
      <c r="C26" s="65">
        <v>1800</v>
      </c>
      <c r="D26" s="65">
        <v>2200</v>
      </c>
      <c r="E26" s="65">
        <v>2200</v>
      </c>
      <c r="F26" s="65">
        <v>4700</v>
      </c>
      <c r="G26" s="65">
        <v>1500</v>
      </c>
      <c r="H26" s="65">
        <v>2300</v>
      </c>
      <c r="I26" s="65"/>
      <c r="J26" s="65"/>
      <c r="K26" s="65"/>
      <c r="L26" s="65"/>
      <c r="M26" s="65"/>
      <c r="N26" s="65"/>
      <c r="O26" s="65">
        <f t="shared" si="2"/>
        <v>14700</v>
      </c>
      <c r="P26" s="4"/>
    </row>
    <row r="27" spans="1:16" ht="33.950000000000003" customHeight="1" x14ac:dyDescent="0.3">
      <c r="A27" s="6"/>
      <c r="B27" s="54" t="s">
        <v>26</v>
      </c>
      <c r="C27" s="65">
        <v>145</v>
      </c>
      <c r="D27" s="65">
        <v>156</v>
      </c>
      <c r="E27" s="65">
        <v>123</v>
      </c>
      <c r="F27" s="65">
        <v>223</v>
      </c>
      <c r="G27" s="65">
        <v>187</v>
      </c>
      <c r="H27" s="65">
        <v>245</v>
      </c>
      <c r="I27" s="65"/>
      <c r="J27" s="65"/>
      <c r="K27" s="65"/>
      <c r="L27" s="65"/>
      <c r="M27" s="65"/>
      <c r="N27" s="65"/>
      <c r="O27" s="65">
        <f t="shared" si="2"/>
        <v>1079</v>
      </c>
      <c r="P27" s="4"/>
    </row>
    <row r="28" spans="1:16" ht="33.950000000000003" customHeight="1" x14ac:dyDescent="0.3">
      <c r="A28" s="6"/>
      <c r="B28" s="60" t="s">
        <v>10</v>
      </c>
      <c r="C28" s="69">
        <f>SUBTOTAL(109,RealMarketing[Jan])</f>
        <v>7545</v>
      </c>
      <c r="D28" s="69">
        <f>SUBTOTAL(109,RealMarketing[Fev])</f>
        <v>3556</v>
      </c>
      <c r="E28" s="69">
        <f>SUBTOTAL(109,RealMarketing[Mar])</f>
        <v>3123</v>
      </c>
      <c r="F28" s="69">
        <f>SUBTOTAL(109,RealMarketing[Abr])</f>
        <v>11223</v>
      </c>
      <c r="G28" s="69">
        <f>SUBTOTAL(109,RealMarketing[Mai])</f>
        <v>2987</v>
      </c>
      <c r="H28" s="69">
        <f>SUBTOTAL(109,RealMarketing[Jun])</f>
        <v>4725</v>
      </c>
      <c r="I28" s="69">
        <f>SUBTOTAL(109,RealMarketing[Jul])</f>
        <v>0</v>
      </c>
      <c r="J28" s="69">
        <f>SUBTOTAL(109,RealMarketing[Ago])</f>
        <v>0</v>
      </c>
      <c r="K28" s="69">
        <f>SUBTOTAL(109,RealMarketing[Set])</f>
        <v>0</v>
      </c>
      <c r="L28" s="69">
        <f>SUBTOTAL(109,RealMarketing[Out])</f>
        <v>0</v>
      </c>
      <c r="M28" s="69">
        <f>SUBTOTAL(109,RealMarketing[Nov])</f>
        <v>0</v>
      </c>
      <c r="N28" s="69">
        <f>SUBTOTAL(109,RealMarketing[Dez])</f>
        <v>0</v>
      </c>
      <c r="O28" s="69">
        <f>SUBTOTAL(109,RealMarketing[ANO])</f>
        <v>33159</v>
      </c>
      <c r="P28" s="4"/>
    </row>
    <row r="29" spans="1:16" ht="33.950000000000003" customHeight="1" x14ac:dyDescent="0.3">
      <c r="A29" s="6"/>
      <c r="B29" s="76"/>
      <c r="C29" s="7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4"/>
    </row>
    <row r="30" spans="1:16" ht="33.950000000000003" customHeight="1" x14ac:dyDescent="0.3">
      <c r="A30" s="6"/>
      <c r="B30" s="51" t="s">
        <v>60</v>
      </c>
      <c r="C30" s="41" t="s">
        <v>34</v>
      </c>
      <c r="D30" s="41" t="s">
        <v>36</v>
      </c>
      <c r="E30" s="41" t="s">
        <v>38</v>
      </c>
      <c r="F30" s="41" t="s">
        <v>40</v>
      </c>
      <c r="G30" s="41" t="s">
        <v>42</v>
      </c>
      <c r="H30" s="41" t="s">
        <v>44</v>
      </c>
      <c r="I30" s="41" t="s">
        <v>46</v>
      </c>
      <c r="J30" s="41" t="s">
        <v>48</v>
      </c>
      <c r="K30" s="41" t="s">
        <v>50</v>
      </c>
      <c r="L30" s="41" t="s">
        <v>52</v>
      </c>
      <c r="M30" s="41" t="s">
        <v>54</v>
      </c>
      <c r="N30" s="41" t="s">
        <v>56</v>
      </c>
      <c r="O30" s="42" t="s">
        <v>57</v>
      </c>
      <c r="P30" s="4"/>
    </row>
    <row r="31" spans="1:16" ht="33.950000000000003" customHeight="1" x14ac:dyDescent="0.3">
      <c r="A31" s="6"/>
      <c r="B31" s="53" t="s">
        <v>28</v>
      </c>
      <c r="C31" s="64">
        <v>1600</v>
      </c>
      <c r="D31" s="64">
        <v>2400</v>
      </c>
      <c r="E31" s="64">
        <v>1400</v>
      </c>
      <c r="F31" s="64">
        <v>1600</v>
      </c>
      <c r="G31" s="64">
        <v>1200</v>
      </c>
      <c r="H31" s="64">
        <v>2800</v>
      </c>
      <c r="I31" s="64"/>
      <c r="J31" s="64"/>
      <c r="K31" s="64"/>
      <c r="L31" s="64"/>
      <c r="M31" s="64"/>
      <c r="N31" s="64"/>
      <c r="O31" s="64">
        <f>SUM(C31:N31)</f>
        <v>11000</v>
      </c>
      <c r="P31" s="4"/>
    </row>
    <row r="32" spans="1:16" ht="33.950000000000003" customHeight="1" x14ac:dyDescent="0.3">
      <c r="A32" s="6"/>
      <c r="B32" s="54" t="s">
        <v>29</v>
      </c>
      <c r="C32" s="65">
        <v>1200</v>
      </c>
      <c r="D32" s="65">
        <v>2200</v>
      </c>
      <c r="E32" s="65">
        <v>1400</v>
      </c>
      <c r="F32" s="65">
        <v>1200</v>
      </c>
      <c r="G32" s="65">
        <v>800</v>
      </c>
      <c r="H32" s="65">
        <v>3500</v>
      </c>
      <c r="I32" s="65"/>
      <c r="J32" s="65"/>
      <c r="K32" s="65"/>
      <c r="L32" s="65"/>
      <c r="M32" s="65"/>
      <c r="N32" s="65"/>
      <c r="O32" s="65">
        <f>SUM(C32:N32)</f>
        <v>10300</v>
      </c>
      <c r="P32" s="4"/>
    </row>
    <row r="33" spans="1:16" ht="33.950000000000003" customHeight="1" x14ac:dyDescent="0.3">
      <c r="A33" s="6"/>
      <c r="B33" s="55" t="s">
        <v>10</v>
      </c>
      <c r="C33" s="66">
        <f>SUBTOTAL(109,RealViagemETreinamento[Jan])</f>
        <v>2800</v>
      </c>
      <c r="D33" s="66">
        <f>SUBTOTAL(109,RealViagemETreinamento[Fev])</f>
        <v>4600</v>
      </c>
      <c r="E33" s="66">
        <f>SUBTOTAL(109,RealViagemETreinamento[Mar])</f>
        <v>2800</v>
      </c>
      <c r="F33" s="66">
        <f>SUBTOTAL(109,RealViagemETreinamento[Abr])</f>
        <v>2800</v>
      </c>
      <c r="G33" s="66">
        <f>SUBTOTAL(109,RealViagemETreinamento[Mai])</f>
        <v>2000</v>
      </c>
      <c r="H33" s="66">
        <f>SUBTOTAL(109,RealViagemETreinamento[Jun])</f>
        <v>6300</v>
      </c>
      <c r="I33" s="66">
        <f>SUBTOTAL(109,RealViagemETreinamento[Jul])</f>
        <v>0</v>
      </c>
      <c r="J33" s="66">
        <f>SUBTOTAL(109,RealViagemETreinamento[Ago])</f>
        <v>0</v>
      </c>
      <c r="K33" s="66">
        <f>SUBTOTAL(109,RealViagemETreinamento[Set])</f>
        <v>0</v>
      </c>
      <c r="L33" s="66">
        <f>SUBTOTAL(109,RealViagemETreinamento[Out])</f>
        <v>0</v>
      </c>
      <c r="M33" s="66">
        <f>SUBTOTAL(109,RealViagemETreinamento[Nov])</f>
        <v>0</v>
      </c>
      <c r="N33" s="66">
        <f>SUBTOTAL(109,RealViagemETreinamento[Dez])</f>
        <v>0</v>
      </c>
      <c r="O33" s="66">
        <f>SUBTOTAL(109,RealViagemETreinamento[ANO])</f>
        <v>21300</v>
      </c>
      <c r="P33" s="4"/>
    </row>
    <row r="34" spans="1:16" ht="33.950000000000003" customHeight="1" x14ac:dyDescent="0.3">
      <c r="A34" s="6"/>
      <c r="B34" s="75"/>
      <c r="C34" s="7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4"/>
    </row>
    <row r="35" spans="1:16" ht="33.950000000000003" customHeight="1" x14ac:dyDescent="0.3">
      <c r="A35" s="6"/>
      <c r="B35" s="51" t="s">
        <v>61</v>
      </c>
      <c r="C35" s="41" t="s">
        <v>34</v>
      </c>
      <c r="D35" s="41" t="s">
        <v>36</v>
      </c>
      <c r="E35" s="41" t="s">
        <v>38</v>
      </c>
      <c r="F35" s="41" t="s">
        <v>40</v>
      </c>
      <c r="G35" s="41" t="s">
        <v>42</v>
      </c>
      <c r="H35" s="41" t="s">
        <v>44</v>
      </c>
      <c r="I35" s="41" t="s">
        <v>46</v>
      </c>
      <c r="J35" s="41" t="s">
        <v>48</v>
      </c>
      <c r="K35" s="41" t="s">
        <v>50</v>
      </c>
      <c r="L35" s="41" t="s">
        <v>52</v>
      </c>
      <c r="M35" s="41" t="s">
        <v>54</v>
      </c>
      <c r="N35" s="41" t="s">
        <v>56</v>
      </c>
      <c r="O35" s="42" t="s">
        <v>58</v>
      </c>
      <c r="P35" s="4"/>
    </row>
    <row r="36" spans="1:16" ht="33.950000000000003" customHeight="1" x14ac:dyDescent="0.3">
      <c r="A36" s="6"/>
      <c r="B36" s="53" t="s">
        <v>62</v>
      </c>
      <c r="C36" s="67">
        <f>RealViagemETreinamento[[#Totals],[Jan]]+RealMarketing[[#Totals],[Jan]]+RealEscritório[[#Totals],[Jan]]+RealFuncionários[[#Totals],[Jan]]</f>
        <v>129682</v>
      </c>
      <c r="D36" s="67">
        <f>RealViagemETreinamento[[#Totals],[Fev]]+RealMarketing[[#Totals],[Fev]]+RealEscritório[[#Totals],[Fev]]+RealFuncionários[[#Totals],[Fev]]</f>
        <v>127804</v>
      </c>
      <c r="E36" s="67">
        <f>RealViagemETreinamento[[#Totals],[Mar]]+RealMarketing[[#Totals],[Mar]]+RealEscritório[[#Totals],[Mar]]+RealFuncionários[[#Totals],[Mar]]</f>
        <v>125565</v>
      </c>
      <c r="F36" s="67">
        <f>RealViagemETreinamento[[#Totals],[Abr]]+RealMarketing[[#Totals],[Abr]]+RealEscritório[[#Totals],[Abr]]+RealFuncionários[[#Totals],[Abr]]</f>
        <v>137394</v>
      </c>
      <c r="G36" s="67">
        <f>RealViagemETreinamento[[#Totals],[Mai]]+RealMarketing[[#Totals],[Mai]]+RealEscritório[[#Totals],[Mai]]+RealFuncionários[[#Totals],[Mai]]</f>
        <v>128255</v>
      </c>
      <c r="H36" s="67">
        <f>RealViagemETreinamento[[#Totals],[Jun]]+RealMarketing[[#Totals],[Jun]]+RealEscritório[[#Totals],[Jun]]+RealFuncionários[[#Totals],[Jun]]</f>
        <v>134239</v>
      </c>
      <c r="I36" s="67">
        <f>RealViagemETreinamento[[#Totals],[Jul]]+RealMarketing[[#Totals],[Jul]]+RealEscritório[[#Totals],[Jul]]+RealFuncionários[[#Totals],[Jul]]</f>
        <v>0</v>
      </c>
      <c r="J36" s="67">
        <f>RealViagemETreinamento[[#Totals],[Ago]]+RealMarketing[[#Totals],[Ago]]+RealEscritório[[#Totals],[Ago]]+RealFuncionários[[#Totals],[Ago]]</f>
        <v>0</v>
      </c>
      <c r="K36" s="67">
        <f>RealViagemETreinamento[[#Totals],[Set]]+RealMarketing[[#Totals],[Set]]+RealEscritório[[#Totals],[Set]]+RealFuncionários[[#Totals],[Set]]</f>
        <v>0</v>
      </c>
      <c r="L36" s="67">
        <f>RealViagemETreinamento[[#Totals],[Out]]+RealMarketing[[#Totals],[Out]]+RealEscritório[[#Totals],[Out]]+RealFuncionários[[#Totals],[Out]]</f>
        <v>0</v>
      </c>
      <c r="M36" s="67">
        <f>RealViagemETreinamento[[#Totals],[Nov]]+RealMarketing[[#Totals],[Nov]]+RealEscritório[[#Totals],[Nov]]+RealFuncionários[[#Totals],[Nov]]</f>
        <v>0</v>
      </c>
      <c r="N36" s="67">
        <f>RealViagemETreinamento[[#Totals],[Dez]]+RealMarketing[[#Totals],[Dez]]+RealEscritório[[#Totals],[Dez]]+RealFuncionários[[#Totals],[Dez]]</f>
        <v>0</v>
      </c>
      <c r="O36" s="67">
        <f>RealViagemETreinamento[[#Totals],[ANO]]+RealMarketing[[#Totals],[ANO]]+RealEscritório[[#Totals],[ANO]]+RealFuncionários[[#Totals],[ANO]]</f>
        <v>782939</v>
      </c>
      <c r="P36" s="9"/>
    </row>
    <row r="37" spans="1:16" ht="33.950000000000003" customHeight="1" x14ac:dyDescent="0.3">
      <c r="A37" s="6"/>
      <c r="B37" s="55" t="s">
        <v>63</v>
      </c>
      <c r="C37" s="68">
        <f>SUM($C$36:C36)</f>
        <v>129682</v>
      </c>
      <c r="D37" s="68">
        <f>SUM($C$36:D36)</f>
        <v>257486</v>
      </c>
      <c r="E37" s="68">
        <f>SUM($C$36:E36)</f>
        <v>383051</v>
      </c>
      <c r="F37" s="68">
        <f>SUM($C$36:F36)</f>
        <v>520445</v>
      </c>
      <c r="G37" s="68">
        <f>SUM($C$36:G36)</f>
        <v>648700</v>
      </c>
      <c r="H37" s="68">
        <f>SUM($C$36:H36)</f>
        <v>782939</v>
      </c>
      <c r="I37" s="68">
        <f>SUM($C$36:I36)</f>
        <v>782939</v>
      </c>
      <c r="J37" s="68">
        <f>SUM($C$36:J36)</f>
        <v>782939</v>
      </c>
      <c r="K37" s="68">
        <f>SUM($C$36:K36)</f>
        <v>782939</v>
      </c>
      <c r="L37" s="68">
        <f>SUM($C$36:L36)</f>
        <v>782939</v>
      </c>
      <c r="M37" s="68">
        <f>SUM($C$36:M36)</f>
        <v>782939</v>
      </c>
      <c r="N37" s="68">
        <f>SUM($C$36:N36)</f>
        <v>782939</v>
      </c>
      <c r="O37" s="68"/>
      <c r="P37" s="9"/>
    </row>
    <row r="38" spans="1:16" ht="33.950000000000003" customHeight="1" x14ac:dyDescent="0.3">
      <c r="A38" s="4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4"/>
    </row>
  </sheetData>
  <mergeCells count="6">
    <mergeCell ref="B34:C34"/>
    <mergeCell ref="B29:C29"/>
    <mergeCell ref="B20:C20"/>
    <mergeCell ref="B9:C9"/>
    <mergeCell ref="B1:O3"/>
    <mergeCell ref="D9:E9"/>
  </mergeCells>
  <pageMargins left="0.7" right="0.7" top="0.75" bottom="0.75" header="0.3" footer="0.3"/>
  <pageSetup paperSize="9" fitToHeight="0" orientation="portrait" r:id="rId1"/>
  <ignoredErrors>
    <ignoredError sqref="O31:O33 O22:O28" emptyCellReference="1"/>
    <ignoredError sqref="C36:O37 C6:H6" calculatedColumn="1"/>
  </ignoredErrors>
  <drawing r:id="rId2"/>
  <tableParts count="5">
    <tablePart r:id="rId3"/>
    <tablePart r:id="rId4"/>
    <tablePart r:id="rId5"/>
    <tablePart r:id="rId6"/>
    <tablePart r:id="rId7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theme="7"/>
    <pageSetUpPr autoPageBreaks="0"/>
  </sheetPr>
  <dimension ref="A1:P37"/>
  <sheetViews>
    <sheetView showGridLines="0" zoomScaleNormal="100" workbookViewId="0"/>
  </sheetViews>
  <sheetFormatPr defaultColWidth="8.85546875" defaultRowHeight="33.950000000000003" customHeight="1" x14ac:dyDescent="0.3"/>
  <cols>
    <col min="1" max="1" width="2.7109375" style="20" customWidth="1"/>
    <col min="2" max="2" width="46.7109375" style="23" customWidth="1"/>
    <col min="3" max="15" width="16.7109375" style="23" customWidth="1"/>
    <col min="16" max="16" width="2.7109375" style="23" customWidth="1"/>
    <col min="17" max="16384" width="8.85546875" style="23"/>
  </cols>
  <sheetData>
    <row r="1" spans="1:16" s="20" customFormat="1" ht="24" customHeight="1" x14ac:dyDescent="0.3">
      <c r="A1" s="1"/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3"/>
    </row>
    <row r="2" spans="1:16" s="20" customFormat="1" ht="45" customHeight="1" x14ac:dyDescent="0.3">
      <c r="A2" s="5"/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  <c r="P2" s="2"/>
    </row>
    <row r="3" spans="1:16" s="20" customFormat="1" ht="79.150000000000006" customHeight="1" x14ac:dyDescent="0.3">
      <c r="A3" s="5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  <c r="P3" s="2"/>
    </row>
    <row r="4" spans="1:16" s="28" customFormat="1" ht="49.5" customHeight="1" x14ac:dyDescent="0.3">
      <c r="A4" s="6"/>
      <c r="B4" s="34" t="s">
        <v>64</v>
      </c>
      <c r="C4" s="49" t="s">
        <v>33</v>
      </c>
      <c r="D4" s="50" t="s">
        <v>35</v>
      </c>
      <c r="E4" s="49" t="s">
        <v>37</v>
      </c>
      <c r="F4" s="50" t="s">
        <v>39</v>
      </c>
      <c r="G4" s="49" t="s">
        <v>41</v>
      </c>
      <c r="H4" s="50" t="s">
        <v>43</v>
      </c>
      <c r="I4" s="49" t="s">
        <v>45</v>
      </c>
      <c r="J4" s="50" t="s">
        <v>47</v>
      </c>
      <c r="K4" s="49" t="s">
        <v>49</v>
      </c>
      <c r="L4" s="50" t="s">
        <v>51</v>
      </c>
      <c r="M4" s="49" t="s">
        <v>53</v>
      </c>
      <c r="N4" s="50" t="s">
        <v>55</v>
      </c>
      <c r="O4" s="49" t="s">
        <v>57</v>
      </c>
      <c r="P4" s="7"/>
    </row>
    <row r="5" spans="1:16" ht="33.950000000000003" customHeight="1" x14ac:dyDescent="0.3">
      <c r="A5" s="6"/>
      <c r="B5" s="59" t="s">
        <v>7</v>
      </c>
      <c r="C5" s="43" t="s">
        <v>34</v>
      </c>
      <c r="D5" s="43" t="s">
        <v>36</v>
      </c>
      <c r="E5" s="43" t="s">
        <v>38</v>
      </c>
      <c r="F5" s="43" t="s">
        <v>40</v>
      </c>
      <c r="G5" s="43" t="s">
        <v>42</v>
      </c>
      <c r="H5" s="43" t="s">
        <v>44</v>
      </c>
      <c r="I5" s="43" t="s">
        <v>46</v>
      </c>
      <c r="J5" s="43" t="s">
        <v>48</v>
      </c>
      <c r="K5" s="43" t="s">
        <v>50</v>
      </c>
      <c r="L5" s="43" t="s">
        <v>52</v>
      </c>
      <c r="M5" s="43" t="s">
        <v>54</v>
      </c>
      <c r="N5" s="43" t="s">
        <v>56</v>
      </c>
      <c r="O5" s="43" t="s">
        <v>57</v>
      </c>
      <c r="P5" s="10"/>
    </row>
    <row r="6" spans="1:16" s="29" customFormat="1" ht="33.950000000000003" customHeight="1" x14ac:dyDescent="0.3">
      <c r="A6" s="24"/>
      <c r="B6" s="58" t="s">
        <v>8</v>
      </c>
      <c r="C6" s="63">
        <f>INDEX(PlanejamentoDeFuncionários[],MATCH(INDEX(VariaçõesDeFuncionários[],ROW()-ROW(VariaçõesDeFuncionários[[#Headers],[Jan]]),1),INDEX(PlanejamentoDeFuncionários[],,1),0),MATCH(VariaçõesDeFuncionários[[#Headers],[Jan]],PlanejamentoDeFuncionários[#Headers],0))-INDEX(RealFuncionários[],MATCH(INDEX(VariaçõesDeFuncionários[],ROW()-ROW(VariaçõesDeFuncionários[[#Headers],[Jan]]),1),INDEX(PlanejamentoDeFuncionários[],,1),0),MATCH(VariaçõesDeFuncionários[[#Headers],[Jan]],RealFuncionários[#Headers],0))</f>
        <v>0</v>
      </c>
      <c r="D6" s="63">
        <f>INDEX(PlanejamentoDeFuncionários[],MATCH(INDEX(VariaçõesDeFuncionários[],ROW()-ROW(VariaçõesDeFuncionários[[#Headers],[Fev]]),1),INDEX(PlanejamentoDeFuncionários[],,1),0),MATCH(VariaçõesDeFuncionários[[#Headers],[Fev]],PlanejamentoDeFuncionários[#Headers],0))-INDEX(RealFuncionários[],MATCH(INDEX(VariaçõesDeFuncionários[],ROW()-ROW(VariaçõesDeFuncionários[[#Headers],[Fev]]),1),INDEX(PlanejamentoDeFuncionários[],,1),0),MATCH(VariaçõesDeFuncionários[[#Headers],[Fev]],RealFuncionários[#Headers],0))</f>
        <v>0</v>
      </c>
      <c r="E6" s="63">
        <f>INDEX(PlanejamentoDeFuncionários[],MATCH(INDEX(VariaçõesDeFuncionários[],ROW()-ROW(VariaçõesDeFuncionários[[#Headers],[Mar]]),1),INDEX(PlanejamentoDeFuncionários[],,1),0),MATCH(VariaçõesDeFuncionários[[#Headers],[Mar]],PlanejamentoDeFuncionários[#Headers],0))-INDEX(RealFuncionários[],MATCH(INDEX(VariaçõesDeFuncionários[],ROW()-ROW(VariaçõesDeFuncionários[[#Headers],[Mar]]),1),INDEX(PlanejamentoDeFuncionários[],,1),0),MATCH(VariaçõesDeFuncionários[[#Headers],[Mar]],RealFuncionários[#Headers],0))</f>
        <v>0</v>
      </c>
      <c r="F6" s="63">
        <f>INDEX(PlanejamentoDeFuncionários[],MATCH(INDEX(VariaçõesDeFuncionários[],ROW()-ROW(VariaçõesDeFuncionários[[#Headers],[Abr]]),1),INDEX(PlanejamentoDeFuncionários[],,1),0),MATCH(VariaçõesDeFuncionários[[#Headers],[Abr]],PlanejamentoDeFuncionários[#Headers],0))-INDEX(RealFuncionários[],MATCH(INDEX(VariaçõesDeFuncionários[],ROW()-ROW(VariaçõesDeFuncionários[[#Headers],[Abr]]),1),INDEX(PlanejamentoDeFuncionários[],,1),0),MATCH(VariaçõesDeFuncionários[[#Headers],[Abr]],RealFuncionários[#Headers],0))</f>
        <v>-500</v>
      </c>
      <c r="G6" s="63">
        <f>INDEX(PlanejamentoDeFuncionários[],MATCH(INDEX(VariaçõesDeFuncionários[],ROW()-ROW(VariaçõesDeFuncionários[[#Headers],[Mai]]),1),INDEX(PlanejamentoDeFuncionários[],,1),0),MATCH(VariaçõesDeFuncionários[[#Headers],[Mai]],PlanejamentoDeFuncionários[#Headers],0))-INDEX(RealFuncionários[],MATCH(INDEX(VariaçõesDeFuncionários[],ROW()-ROW(VariaçõesDeFuncionários[[#Headers],[Mai]]),1),INDEX(PlanejamentoDeFuncionários[],,1),0),MATCH(VariaçõesDeFuncionários[[#Headers],[Mai]],RealFuncionários[#Headers],0))</f>
        <v>-500</v>
      </c>
      <c r="H6" s="63">
        <f>INDEX(PlanejamentoDeFuncionários[],MATCH(INDEX(VariaçõesDeFuncionários[],ROW()-ROW(VariaçõesDeFuncionários[[#Headers],[Jun]]),1),INDEX(PlanejamentoDeFuncionários[],,1),0),MATCH(VariaçõesDeFuncionários[[#Headers],[Jun]],PlanejamentoDeFuncionários[#Headers],0))-INDEX(RealFuncionários[],MATCH(INDEX(VariaçõesDeFuncionários[],ROW()-ROW(VariaçõesDeFuncionários[[#Headers],[Jun]]),1),INDEX(PlanejamentoDeFuncionários[],,1),0),MATCH(VariaçõesDeFuncionários[[#Headers],[Jun]],RealFuncionários[#Headers],0))</f>
        <v>-500</v>
      </c>
      <c r="I6" s="63">
        <f>INDEX(PlanejamentoDeFuncionários[],MATCH(INDEX(VariaçõesDeFuncionários[],ROW()-ROW(VariaçõesDeFuncionários[[#Headers],[Jul]]),1),INDEX(PlanejamentoDeFuncionários[],,1),0),MATCH(VariaçõesDeFuncionários[[#Headers],[Jul]],PlanejamentoDeFuncionários[#Headers],0))-INDEX(RealFuncionários[],MATCH(INDEX(VariaçõesDeFuncionários[],ROW()-ROW(VariaçõesDeFuncionários[[#Headers],[Jul]]),1),INDEX(PlanejamentoDeFuncionários[],,1),0),MATCH(VariaçõesDeFuncionários[[#Headers],[Jul]],RealFuncionários[#Headers],0))</f>
        <v>87500</v>
      </c>
      <c r="J6" s="63">
        <f>INDEX(PlanejamentoDeFuncionários[],MATCH(INDEX(VariaçõesDeFuncionários[],ROW()-ROW(VariaçõesDeFuncionários[[#Headers],[Ago]]),1),INDEX(PlanejamentoDeFuncionários[],,1),0),MATCH(VariaçõesDeFuncionários[[#Headers],[Ago]],PlanejamentoDeFuncionários[#Headers],0))-INDEX(RealFuncionários[],MATCH(INDEX(VariaçõesDeFuncionários[],ROW()-ROW(VariaçõesDeFuncionários[[#Headers],[Ago]]),1),INDEX(PlanejamentoDeFuncionários[],,1),0),MATCH(VariaçõesDeFuncionários[[#Headers],[Ago]],RealFuncionários[#Headers],0))</f>
        <v>92400</v>
      </c>
      <c r="K6" s="63">
        <f>INDEX(PlanejamentoDeFuncionários[],MATCH(INDEX(VariaçõesDeFuncionários[],ROW()-ROW(VariaçõesDeFuncionários[[#Headers],[Set]]),1),INDEX(PlanejamentoDeFuncionários[],,1),0),MATCH(VariaçõesDeFuncionários[[#Headers],[Set]],PlanejamentoDeFuncionários[#Headers],0))-INDEX(RealFuncionários[],MATCH(INDEX(VariaçõesDeFuncionários[],ROW()-ROW(VariaçõesDeFuncionários[[#Headers],[Set]]),1),INDEX(PlanejamentoDeFuncionários[],,1),0),MATCH(VariaçõesDeFuncionários[[#Headers],[Set]],RealFuncionários[#Headers],0))</f>
        <v>92400</v>
      </c>
      <c r="L6" s="63">
        <f>INDEX(PlanejamentoDeFuncionários[],MATCH(INDEX(VariaçõesDeFuncionários[],ROW()-ROW(VariaçõesDeFuncionários[[#Headers],[Out]]),1),INDEX(PlanejamentoDeFuncionários[],,1),0),MATCH(VariaçõesDeFuncionários[[#Headers],[Out]],PlanejamentoDeFuncionários[#Headers],0))-INDEX(RealFuncionários[],MATCH(INDEX(VariaçõesDeFuncionários[],ROW()-ROW(VariaçõesDeFuncionários[[#Headers],[Out]]),1),INDEX(PlanejamentoDeFuncionários[],,1),0),MATCH(VariaçõesDeFuncionários[[#Headers],[Out]],RealFuncionários[#Headers],0))</f>
        <v>92400</v>
      </c>
      <c r="M6" s="63">
        <f>INDEX(PlanejamentoDeFuncionários[],MATCH(INDEX(VariaçõesDeFuncionários[],ROW()-ROW(VariaçõesDeFuncionários[[#Headers],[Nov]]),1),INDEX(PlanejamentoDeFuncionários[],,1),0),MATCH(VariaçõesDeFuncionários[[#Headers],[Nov]],PlanejamentoDeFuncionários[#Headers],0))-INDEX(RealFuncionários[],MATCH(INDEX(VariaçõesDeFuncionários[],ROW()-ROW(VariaçõesDeFuncionários[[#Headers],[Nov]]),1),INDEX(PlanejamentoDeFuncionários[],,1),0),MATCH(VariaçõesDeFuncionários[[#Headers],[Nov]],RealFuncionários[#Headers],0))</f>
        <v>92400</v>
      </c>
      <c r="N6" s="63">
        <f>INDEX(PlanejamentoDeFuncionários[],MATCH(INDEX(VariaçõesDeFuncionários[],ROW()-ROW(VariaçõesDeFuncionários[[#Headers],[Dez]]),1),INDEX(PlanejamentoDeFuncionários[],,1),0),MATCH(VariaçõesDeFuncionários[[#Headers],[Dez]],PlanejamentoDeFuncionários[#Headers],0))-INDEX(RealFuncionários[],MATCH(INDEX(VariaçõesDeFuncionários[],ROW()-ROW(VariaçõesDeFuncionários[[#Headers],[Dez]]),1),INDEX(PlanejamentoDeFuncionários[],,1),0),MATCH(VariaçõesDeFuncionários[[#Headers],[Dez]],RealFuncionários[#Headers],0))</f>
        <v>92400</v>
      </c>
      <c r="O6" s="63">
        <f>SUM(VariaçõesDeFuncionários[[#This Row],[Jan]:[Dez]])</f>
        <v>548000</v>
      </c>
      <c r="P6" s="25"/>
    </row>
    <row r="7" spans="1:16" s="29" customFormat="1" ht="33.950000000000003" customHeight="1" x14ac:dyDescent="0.3">
      <c r="A7" s="24"/>
      <c r="B7" s="58" t="s">
        <v>9</v>
      </c>
      <c r="C7" s="63">
        <f>INDEX(PlanejamentoDeFuncionários[],MATCH(INDEX(VariaçõesDeFuncionários[],ROW()-ROW(VariaçõesDeFuncionários[[#Headers],[Jan]]),1),INDEX(PlanejamentoDeFuncionários[],,1),0),MATCH(VariaçõesDeFuncionários[[#Headers],[Jan]],PlanejamentoDeFuncionários[#Headers],0))-INDEX(RealFuncionários[],MATCH(INDEX(VariaçõesDeFuncionários[],ROW()-ROW(VariaçõesDeFuncionários[[#Headers],[Jan]]),1),INDEX(PlanejamentoDeFuncionários[],,1),0),MATCH(VariaçõesDeFuncionários[[#Headers],[Jan]],RealFuncionários[#Headers],0))</f>
        <v>0</v>
      </c>
      <c r="D7" s="63">
        <f>INDEX(PlanejamentoDeFuncionários[],MATCH(INDEX(VariaçõesDeFuncionários[],ROW()-ROW(VariaçõesDeFuncionários[[#Headers],[Fev]]),1),INDEX(PlanejamentoDeFuncionários[],,1),0),MATCH(VariaçõesDeFuncionários[[#Headers],[Fev]],PlanejamentoDeFuncionários[#Headers],0))-INDEX(RealFuncionários[],MATCH(INDEX(VariaçõesDeFuncionários[],ROW()-ROW(VariaçõesDeFuncionários[[#Headers],[Fev]]),1),INDEX(PlanejamentoDeFuncionários[],,1),0),MATCH(VariaçõesDeFuncionários[[#Headers],[Fev]],RealFuncionários[#Headers],0))</f>
        <v>0</v>
      </c>
      <c r="E7" s="63">
        <f>INDEX(PlanejamentoDeFuncionários[],MATCH(INDEX(VariaçõesDeFuncionários[],ROW()-ROW(VariaçõesDeFuncionários[[#Headers],[Mar]]),1),INDEX(PlanejamentoDeFuncionários[],,1),0),MATCH(VariaçõesDeFuncionários[[#Headers],[Mar]],PlanejamentoDeFuncionários[#Headers],0))-INDEX(RealFuncionários[],MATCH(INDEX(VariaçõesDeFuncionários[],ROW()-ROW(VariaçõesDeFuncionários[[#Headers],[Mar]]),1),INDEX(PlanejamentoDeFuncionários[],,1),0),MATCH(VariaçõesDeFuncionários[[#Headers],[Mar]],RealFuncionários[#Headers],0))</f>
        <v>0</v>
      </c>
      <c r="F7" s="63">
        <f>INDEX(PlanejamentoDeFuncionários[],MATCH(INDEX(VariaçõesDeFuncionários[],ROW()-ROW(VariaçõesDeFuncionários[[#Headers],[Abr]]),1),INDEX(PlanejamentoDeFuncionários[],,1),0),MATCH(VariaçõesDeFuncionários[[#Headers],[Abr]],PlanejamentoDeFuncionários[#Headers],0))-INDEX(RealFuncionários[],MATCH(INDEX(VariaçõesDeFuncionários[],ROW()-ROW(VariaçõesDeFuncionários[[#Headers],[Abr]]),1),INDEX(PlanejamentoDeFuncionários[],,1),0),MATCH(VariaçõesDeFuncionários[[#Headers],[Abr]],RealFuncionários[#Headers],0))</f>
        <v>-135</v>
      </c>
      <c r="G7" s="63">
        <f>INDEX(PlanejamentoDeFuncionários[],MATCH(INDEX(VariaçõesDeFuncionários[],ROW()-ROW(VariaçõesDeFuncionários[[#Headers],[Mai]]),1),INDEX(PlanejamentoDeFuncionários[],,1),0),MATCH(VariaçõesDeFuncionários[[#Headers],[Mai]],PlanejamentoDeFuncionários[#Headers],0))-INDEX(RealFuncionários[],MATCH(INDEX(VariaçõesDeFuncionários[],ROW()-ROW(VariaçõesDeFuncionários[[#Headers],[Mai]]),1),INDEX(PlanejamentoDeFuncionários[],,1),0),MATCH(VariaçõesDeFuncionários[[#Headers],[Mai]],RealFuncionários[#Headers],0))</f>
        <v>-135</v>
      </c>
      <c r="H7" s="63">
        <f>INDEX(PlanejamentoDeFuncionários[],MATCH(INDEX(VariaçõesDeFuncionários[],ROW()-ROW(VariaçõesDeFuncionários[[#Headers],[Jun]]),1),INDEX(PlanejamentoDeFuncionários[],,1),0),MATCH(VariaçõesDeFuncionários[[#Headers],[Jun]],PlanejamentoDeFuncionários[#Headers],0))-INDEX(RealFuncionários[],MATCH(INDEX(VariaçõesDeFuncionários[],ROW()-ROW(VariaçõesDeFuncionários[[#Headers],[Jun]]),1),INDEX(PlanejamentoDeFuncionários[],,1),0),MATCH(VariaçõesDeFuncionários[[#Headers],[Jun]],RealFuncionários[#Headers],0))</f>
        <v>-135</v>
      </c>
      <c r="I7" s="63">
        <f>INDEX(PlanejamentoDeFuncionários[],MATCH(INDEX(VariaçõesDeFuncionários[],ROW()-ROW(VariaçõesDeFuncionários[[#Headers],[Jul]]),1),INDEX(PlanejamentoDeFuncionários[],,1),0),MATCH(VariaçõesDeFuncionários[[#Headers],[Jul]],PlanejamentoDeFuncionários[#Headers],0))-INDEX(RealFuncionários[],MATCH(INDEX(VariaçõesDeFuncionários[],ROW()-ROW(VariaçõesDeFuncionários[[#Headers],[Jul]]),1),INDEX(PlanejamentoDeFuncionários[],,1),0),MATCH(VariaçõesDeFuncionários[[#Headers],[Jul]],RealFuncionários[#Headers],0))</f>
        <v>23625</v>
      </c>
      <c r="J7" s="63">
        <f>INDEX(PlanejamentoDeFuncionários[],MATCH(INDEX(VariaçõesDeFuncionários[],ROW()-ROW(VariaçõesDeFuncionários[[#Headers],[Ago]]),1),INDEX(PlanejamentoDeFuncionários[],,1),0),MATCH(VariaçõesDeFuncionários[[#Headers],[Ago]],PlanejamentoDeFuncionários[#Headers],0))-INDEX(RealFuncionários[],MATCH(INDEX(VariaçõesDeFuncionários[],ROW()-ROW(VariaçõesDeFuncionários[[#Headers],[Ago]]),1),INDEX(PlanejamentoDeFuncionários[],,1),0),MATCH(VariaçõesDeFuncionários[[#Headers],[Ago]],RealFuncionários[#Headers],0))</f>
        <v>24948</v>
      </c>
      <c r="K7" s="63">
        <f>INDEX(PlanejamentoDeFuncionários[],MATCH(INDEX(VariaçõesDeFuncionários[],ROW()-ROW(VariaçõesDeFuncionários[[#Headers],[Set]]),1),INDEX(PlanejamentoDeFuncionários[],,1),0),MATCH(VariaçõesDeFuncionários[[#Headers],[Set]],PlanejamentoDeFuncionários[#Headers],0))-INDEX(RealFuncionários[],MATCH(INDEX(VariaçõesDeFuncionários[],ROW()-ROW(VariaçõesDeFuncionários[[#Headers],[Set]]),1),INDEX(PlanejamentoDeFuncionários[],,1),0),MATCH(VariaçõesDeFuncionários[[#Headers],[Set]],RealFuncionários[#Headers],0))</f>
        <v>24948</v>
      </c>
      <c r="L7" s="63">
        <f>INDEX(PlanejamentoDeFuncionários[],MATCH(INDEX(VariaçõesDeFuncionários[],ROW()-ROW(VariaçõesDeFuncionários[[#Headers],[Out]]),1),INDEX(PlanejamentoDeFuncionários[],,1),0),MATCH(VariaçõesDeFuncionários[[#Headers],[Out]],PlanejamentoDeFuncionários[#Headers],0))-INDEX(RealFuncionários[],MATCH(INDEX(VariaçõesDeFuncionários[],ROW()-ROW(VariaçõesDeFuncionários[[#Headers],[Out]]),1),INDEX(PlanejamentoDeFuncionários[],,1),0),MATCH(VariaçõesDeFuncionários[[#Headers],[Out]],RealFuncionários[#Headers],0))</f>
        <v>24948</v>
      </c>
      <c r="M7" s="63">
        <f>INDEX(PlanejamentoDeFuncionários[],MATCH(INDEX(VariaçõesDeFuncionários[],ROW()-ROW(VariaçõesDeFuncionários[[#Headers],[Nov]]),1),INDEX(PlanejamentoDeFuncionários[],,1),0),MATCH(VariaçõesDeFuncionários[[#Headers],[Nov]],PlanejamentoDeFuncionários[#Headers],0))-INDEX(RealFuncionários[],MATCH(INDEX(VariaçõesDeFuncionários[],ROW()-ROW(VariaçõesDeFuncionários[[#Headers],[Nov]]),1),INDEX(PlanejamentoDeFuncionários[],,1),0),MATCH(VariaçõesDeFuncionários[[#Headers],[Nov]],RealFuncionários[#Headers],0))</f>
        <v>24948</v>
      </c>
      <c r="N7" s="63">
        <f>INDEX(PlanejamentoDeFuncionários[],MATCH(INDEX(VariaçõesDeFuncionários[],ROW()-ROW(VariaçõesDeFuncionários[[#Headers],[Dez]]),1),INDEX(PlanejamentoDeFuncionários[],,1),0),MATCH(VariaçõesDeFuncionários[[#Headers],[Dez]],PlanejamentoDeFuncionários[#Headers],0))-INDEX(RealFuncionários[],MATCH(INDEX(VariaçõesDeFuncionários[],ROW()-ROW(VariaçõesDeFuncionários[[#Headers],[Dez]]),1),INDEX(PlanejamentoDeFuncionários[],,1),0),MATCH(VariaçõesDeFuncionários[[#Headers],[Dez]],RealFuncionários[#Headers],0))</f>
        <v>24948</v>
      </c>
      <c r="O7" s="63">
        <f>SUM(VariaçõesDeFuncionários[[#This Row],[Jan]:[Dez]])</f>
        <v>147960</v>
      </c>
      <c r="P7" s="25"/>
    </row>
    <row r="8" spans="1:16" s="29" customFormat="1" ht="33.950000000000003" customHeight="1" x14ac:dyDescent="0.3">
      <c r="A8" s="24"/>
      <c r="B8" s="58" t="s">
        <v>10</v>
      </c>
      <c r="C8" s="63">
        <f>SUBTOTAL(109,VariaçõesDeFuncionários[Jan])</f>
        <v>0</v>
      </c>
      <c r="D8" s="63">
        <f>SUBTOTAL(109,VariaçõesDeFuncionários[Fev])</f>
        <v>0</v>
      </c>
      <c r="E8" s="63">
        <f>SUBTOTAL(109,VariaçõesDeFuncionários[Mar])</f>
        <v>0</v>
      </c>
      <c r="F8" s="63">
        <f>SUBTOTAL(109,VariaçõesDeFuncionários[Abr])</f>
        <v>-635</v>
      </c>
      <c r="G8" s="63">
        <f>SUBTOTAL(109,VariaçõesDeFuncionários[Mai])</f>
        <v>-635</v>
      </c>
      <c r="H8" s="63">
        <f>SUBTOTAL(109,VariaçõesDeFuncionários[Jun])</f>
        <v>-635</v>
      </c>
      <c r="I8" s="63">
        <f>SUBTOTAL(109,VariaçõesDeFuncionários[Jul])</f>
        <v>111125</v>
      </c>
      <c r="J8" s="63">
        <f>SUBTOTAL(109,VariaçõesDeFuncionários[Ago])</f>
        <v>117348</v>
      </c>
      <c r="K8" s="63">
        <f>SUBTOTAL(109,VariaçõesDeFuncionários[Set])</f>
        <v>117348</v>
      </c>
      <c r="L8" s="63">
        <f>SUBTOTAL(109,VariaçõesDeFuncionários[Out])</f>
        <v>117348</v>
      </c>
      <c r="M8" s="63">
        <f>SUBTOTAL(109,VariaçõesDeFuncionários[Nov])</f>
        <v>117348</v>
      </c>
      <c r="N8" s="63">
        <f>SUBTOTAL(109,VariaçõesDeFuncionários[Dez])</f>
        <v>117348</v>
      </c>
      <c r="O8" s="63">
        <f>SUBTOTAL(109,VariaçõesDeFuncionários[ANO])</f>
        <v>695960</v>
      </c>
      <c r="P8" s="25"/>
    </row>
    <row r="9" spans="1:16" ht="33.950000000000003" customHeight="1" x14ac:dyDescent="0.3">
      <c r="A9" s="6"/>
      <c r="B9" s="76"/>
      <c r="C9" s="76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10"/>
    </row>
    <row r="10" spans="1:16" ht="33.950000000000003" customHeight="1" x14ac:dyDescent="0.3">
      <c r="A10" s="6"/>
      <c r="B10" s="61" t="s">
        <v>11</v>
      </c>
      <c r="C10" s="44" t="s">
        <v>34</v>
      </c>
      <c r="D10" s="44" t="s">
        <v>36</v>
      </c>
      <c r="E10" s="44" t="s">
        <v>38</v>
      </c>
      <c r="F10" s="44" t="s">
        <v>40</v>
      </c>
      <c r="G10" s="44" t="s">
        <v>42</v>
      </c>
      <c r="H10" s="44" t="s">
        <v>44</v>
      </c>
      <c r="I10" s="44" t="s">
        <v>46</v>
      </c>
      <c r="J10" s="44" t="s">
        <v>48</v>
      </c>
      <c r="K10" s="44" t="s">
        <v>50</v>
      </c>
      <c r="L10" s="44" t="s">
        <v>52</v>
      </c>
      <c r="M10" s="44" t="s">
        <v>54</v>
      </c>
      <c r="N10" s="44" t="s">
        <v>56</v>
      </c>
      <c r="O10" s="45" t="s">
        <v>57</v>
      </c>
      <c r="P10" s="10"/>
    </row>
    <row r="11" spans="1:16" ht="33.950000000000003" customHeight="1" x14ac:dyDescent="0.3">
      <c r="A11" s="6"/>
      <c r="B11" s="53" t="s">
        <v>12</v>
      </c>
      <c r="C11" s="64">
        <f>INDEX(PlanejamentoDoEscritório[],MATCH(INDEX(VariaçõesDoEscritório[],ROW()-ROW(VariaçõesDoEscritório[[#Headers],[Jan]]),1),INDEX(PlanejamentoDoEscritório[],,1),0),MATCH(VariaçõesDoEscritório[[#Headers],[Jan]],PlanejamentoDoEscritório[#Headers],0))-INDEX(RealEscritório[],MATCH(INDEX(VariaçõesDoEscritório[],ROW()-ROW(VariaçõesDoEscritório[[#Headers],[Jan]]),1),INDEX(PlanejamentoDoEscritório[],,1),0),MATCH(VariaçõesDoEscritório[[#Headers],[Jan]],RealEscritório[#Headers],0))</f>
        <v>0</v>
      </c>
      <c r="D11" s="64">
        <f>INDEX(PlanejamentoDoEscritório[],MATCH(INDEX(VariaçõesDoEscritório[],ROW()-ROW(VariaçõesDoEscritório[[#Headers],[Fev]]),1),INDEX(PlanejamentoDoEscritório[],,1),0),MATCH(VariaçõesDoEscritório[[#Headers],[Fev]],PlanejamentoDoEscritório[#Headers],0))-INDEX(RealEscritório[],MATCH(INDEX(VariaçõesDoEscritório[],ROW()-ROW(VariaçõesDoEscritório[[#Headers],[Fev]]),1),INDEX(PlanejamentoDoEscritório[],,1),0),MATCH(VariaçõesDoEscritório[[#Headers],[Fev]],RealEscritório[#Headers],0))</f>
        <v>0</v>
      </c>
      <c r="E11" s="64">
        <f>INDEX(PlanejamentoDoEscritório[],MATCH(INDEX(VariaçõesDoEscritório[],ROW()-ROW(VariaçõesDoEscritório[[#Headers],[Mar]]),1),INDEX(PlanejamentoDoEscritório[],,1),0),MATCH(VariaçõesDoEscritório[[#Headers],[Mar]],PlanejamentoDoEscritório[#Headers],0))-INDEX(RealEscritório[],MATCH(INDEX(VariaçõesDoEscritório[],ROW()-ROW(VariaçõesDoEscritório[[#Headers],[Mar]]),1),INDEX(PlanejamentoDoEscritório[],,1),0),MATCH(VariaçõesDoEscritório[[#Headers],[Mar]],RealEscritório[#Headers],0))</f>
        <v>0</v>
      </c>
      <c r="F11" s="64">
        <f>INDEX(PlanejamentoDoEscritório[],MATCH(INDEX(VariaçõesDoEscritório[],ROW()-ROW(VariaçõesDoEscritório[[#Headers],[Abr]]),1),INDEX(PlanejamentoDoEscritório[],,1),0),MATCH(VariaçõesDoEscritório[[#Headers],[Abr]],PlanejamentoDoEscritório[#Headers],0))-INDEX(RealEscritório[],MATCH(INDEX(VariaçõesDoEscritório[],ROW()-ROW(VariaçõesDoEscritório[[#Headers],[Abr]]),1),INDEX(PlanejamentoDoEscritório[],,1),0),MATCH(VariaçõesDoEscritório[[#Headers],[Abr]],RealEscritório[#Headers],0))</f>
        <v>0</v>
      </c>
      <c r="G11" s="64">
        <f>INDEX(PlanejamentoDoEscritório[],MATCH(INDEX(VariaçõesDoEscritório[],ROW()-ROW(VariaçõesDoEscritório[[#Headers],[Mai]]),1),INDEX(PlanejamentoDoEscritório[],,1),0),MATCH(VariaçõesDoEscritório[[#Headers],[Mai]],PlanejamentoDoEscritório[#Headers],0))-INDEX(RealEscritório[],MATCH(INDEX(VariaçõesDoEscritório[],ROW()-ROW(VariaçõesDoEscritório[[#Headers],[Mai]]),1),INDEX(PlanejamentoDoEscritório[],,1),0),MATCH(VariaçõesDoEscritório[[#Headers],[Mai]],RealEscritório[#Headers],0))</f>
        <v>0</v>
      </c>
      <c r="H11" s="64">
        <f>INDEX(PlanejamentoDoEscritório[],MATCH(INDEX(VariaçõesDoEscritório[],ROW()-ROW(VariaçõesDoEscritório[[#Headers],[Jun]]),1),INDEX(PlanejamentoDoEscritório[],,1),0),MATCH(VariaçõesDoEscritório[[#Headers],[Jun]],PlanejamentoDoEscritório[#Headers],0))-INDEX(RealEscritório[],MATCH(INDEX(VariaçõesDoEscritório[],ROW()-ROW(VariaçõesDoEscritório[[#Headers],[Jun]]),1),INDEX(PlanejamentoDoEscritório[],,1),0),MATCH(VariaçõesDoEscritório[[#Headers],[Jun]],RealEscritório[#Headers],0))</f>
        <v>0</v>
      </c>
      <c r="I11" s="64">
        <f>INDEX(PlanejamentoDoEscritório[],MATCH(INDEX(VariaçõesDoEscritório[],ROW()-ROW(VariaçõesDoEscritório[[#Headers],[Jul]]),1),INDEX(PlanejamentoDoEscritório[],,1),0),MATCH(VariaçõesDoEscritório[[#Headers],[Jul]],PlanejamentoDoEscritório[#Headers],0))-INDEX(RealEscritório[],MATCH(INDEX(VariaçõesDoEscritório[],ROW()-ROW(VariaçõesDoEscritório[[#Headers],[Jul]]),1),INDEX(PlanejamentoDoEscritório[],,1),0),MATCH(VariaçõesDoEscritório[[#Headers],[Jul]],RealEscritório[#Headers],0))</f>
        <v>9800</v>
      </c>
      <c r="J11" s="64">
        <f>INDEX(PlanejamentoDoEscritório[],MATCH(INDEX(VariaçõesDoEscritório[],ROW()-ROW(VariaçõesDoEscritório[[#Headers],[Ago]]),1),INDEX(PlanejamentoDoEscritório[],,1),0),MATCH(VariaçõesDoEscritório[[#Headers],[Ago]],PlanejamentoDoEscritório[#Headers],0))-INDEX(RealEscritório[],MATCH(INDEX(VariaçõesDoEscritório[],ROW()-ROW(VariaçõesDoEscritório[[#Headers],[Ago]]),1),INDEX(PlanejamentoDoEscritório[],,1),0),MATCH(VariaçõesDoEscritório[[#Headers],[Ago]],RealEscritório[#Headers],0))</f>
        <v>9800</v>
      </c>
      <c r="K11" s="64">
        <f>INDEX(PlanejamentoDoEscritório[],MATCH(INDEX(VariaçõesDoEscritório[],ROW()-ROW(VariaçõesDoEscritório[[#Headers],[Set]]),1),INDEX(PlanejamentoDoEscritório[],,1),0),MATCH(VariaçõesDoEscritório[[#Headers],[Set]],PlanejamentoDoEscritório[#Headers],0))-INDEX(RealEscritório[],MATCH(INDEX(VariaçõesDoEscritório[],ROW()-ROW(VariaçõesDoEscritório[[#Headers],[Set]]),1),INDEX(PlanejamentoDoEscritório[],,1),0),MATCH(VariaçõesDoEscritório[[#Headers],[Set]],RealEscritório[#Headers],0))</f>
        <v>9800</v>
      </c>
      <c r="L11" s="64">
        <f>INDEX(PlanejamentoDoEscritório[],MATCH(INDEX(VariaçõesDoEscritório[],ROW()-ROW(VariaçõesDoEscritório[[#Headers],[Out]]),1),INDEX(PlanejamentoDoEscritório[],,1),0),MATCH(VariaçõesDoEscritório[[#Headers],[Out]],PlanejamentoDoEscritório[#Headers],0))-INDEX(RealEscritório[],MATCH(INDEX(VariaçõesDoEscritório[],ROW()-ROW(VariaçõesDoEscritório[[#Headers],[Out]]),1),INDEX(PlanejamentoDoEscritório[],,1),0),MATCH(VariaçõesDoEscritório[[#Headers],[Out]],RealEscritório[#Headers],0))</f>
        <v>9800</v>
      </c>
      <c r="M11" s="64">
        <f>INDEX(PlanejamentoDoEscritório[],MATCH(INDEX(VariaçõesDoEscritório[],ROW()-ROW(VariaçõesDoEscritório[[#Headers],[Nov]]),1),INDEX(PlanejamentoDoEscritório[],,1),0),MATCH(VariaçõesDoEscritório[[#Headers],[Nov]],PlanejamentoDoEscritório[#Headers],0))-INDEX(RealEscritório[],MATCH(INDEX(VariaçõesDoEscritório[],ROW()-ROW(VariaçõesDoEscritório[[#Headers],[Nov]]),1),INDEX(PlanejamentoDoEscritório[],,1),0),MATCH(VariaçõesDoEscritório[[#Headers],[Nov]],RealEscritório[#Headers],0))</f>
        <v>9800</v>
      </c>
      <c r="N11" s="64">
        <f>INDEX(PlanejamentoDoEscritório[],MATCH(INDEX(VariaçõesDoEscritório[],ROW()-ROW(VariaçõesDoEscritório[[#Headers],[Dez]]),1),INDEX(PlanejamentoDoEscritório[],,1),0),MATCH(VariaçõesDoEscritório[[#Headers],[Dez]],PlanejamentoDoEscritório[#Headers],0))-INDEX(RealEscritório[],MATCH(INDEX(VariaçõesDoEscritório[],ROW()-ROW(VariaçõesDoEscritório[[#Headers],[Dez]]),1),INDEX(PlanejamentoDoEscritório[],,1),0),MATCH(VariaçõesDoEscritório[[#Headers],[Dez]],RealEscritório[#Headers],0))</f>
        <v>9800</v>
      </c>
      <c r="O11" s="64">
        <f>SUM(VariaçõesDoEscritório[[#This Row],[Jan]:[Dez]])</f>
        <v>58800</v>
      </c>
      <c r="P11" s="10"/>
    </row>
    <row r="12" spans="1:16" ht="33.950000000000003" customHeight="1" x14ac:dyDescent="0.3">
      <c r="A12" s="6"/>
      <c r="B12" s="54" t="s">
        <v>13</v>
      </c>
      <c r="C12" s="65">
        <f>INDEX(PlanejamentoDoEscritório[],MATCH(INDEX(VariaçõesDoEscritório[],ROW()-ROW(VariaçõesDoEscritório[[#Headers],[Jan]]),1),INDEX(PlanejamentoDoEscritório[],,1),0),MATCH(VariaçõesDoEscritório[[#Headers],[Jan]],PlanejamentoDoEscritório[#Headers],0))-INDEX(RealEscritório[],MATCH(INDEX(VariaçõesDoEscritório[],ROW()-ROW(VariaçõesDoEscritório[[#Headers],[Jan]]),1),INDEX(PlanejamentoDoEscritório[],,1),0),MATCH(VariaçõesDoEscritório[[#Headers],[Jan]],RealEscritório[#Headers],0))</f>
        <v>-4</v>
      </c>
      <c r="D12" s="65">
        <f>INDEX(PlanejamentoDoEscritório[],MATCH(INDEX(VariaçõesDoEscritório[],ROW()-ROW(VariaçõesDoEscritório[[#Headers],[Fev]]),1),INDEX(PlanejamentoDoEscritório[],,1),0),MATCH(VariaçõesDoEscritório[[#Headers],[Fev]],PlanejamentoDoEscritório[#Headers],0))-INDEX(RealEscritório[],MATCH(INDEX(VariaçõesDoEscritório[],ROW()-ROW(VariaçõesDoEscritório[[#Headers],[Fev]]),1),INDEX(PlanejamentoDoEscritório[],,1),0),MATCH(VariaçõesDoEscritório[[#Headers],[Fev]],RealEscritório[#Headers],0))</f>
        <v>-30</v>
      </c>
      <c r="E12" s="65">
        <f>INDEX(PlanejamentoDoEscritório[],MATCH(INDEX(VariaçõesDoEscritório[],ROW()-ROW(VariaçõesDoEscritório[[#Headers],[Mar]]),1),INDEX(PlanejamentoDoEscritório[],,1),0),MATCH(VariaçõesDoEscritório[[#Headers],[Mar]],PlanejamentoDoEscritório[#Headers],0))-INDEX(RealEscritório[],MATCH(INDEX(VariaçõesDoEscritório[],ROW()-ROW(VariaçõesDoEscritório[[#Headers],[Mar]]),1),INDEX(PlanejamentoDoEscritório[],,1),0),MATCH(VariaçõesDoEscritório[[#Headers],[Mar]],RealEscritório[#Headers],0))</f>
        <v>15</v>
      </c>
      <c r="F12" s="65">
        <f>INDEX(PlanejamentoDoEscritório[],MATCH(INDEX(VariaçõesDoEscritório[],ROW()-ROW(VariaçõesDoEscritório[[#Headers],[Abr]]),1),INDEX(PlanejamentoDoEscritório[],,1),0),MATCH(VariaçõesDoEscritório[[#Headers],[Abr]],PlanejamentoDoEscritório[#Headers],0))-INDEX(RealEscritório[],MATCH(INDEX(VariaçõesDoEscritório[],ROW()-ROW(VariaçõesDoEscritório[[#Headers],[Abr]]),1),INDEX(PlanejamentoDoEscritório[],,1),0),MATCH(VariaçõesDoEscritório[[#Headers],[Abr]],RealEscritório[#Headers],0))</f>
        <v>-130</v>
      </c>
      <c r="G12" s="65">
        <f>INDEX(PlanejamentoDoEscritório[],MATCH(INDEX(VariaçõesDoEscritório[],ROW()-ROW(VariaçõesDoEscritório[[#Headers],[Mai]]),1),INDEX(PlanejamentoDoEscritório[],,1),0),MATCH(VariaçõesDoEscritório[[#Headers],[Mai]],PlanejamentoDoEscritório[#Headers],0))-INDEX(RealEscritório[],MATCH(INDEX(VariaçõesDoEscritório[],ROW()-ROW(VariaçõesDoEscritório[[#Headers],[Mai]]),1),INDEX(PlanejamentoDoEscritório[],,1),0),MATCH(VariaçõesDoEscritório[[#Headers],[Mai]],RealEscritório[#Headers],0))</f>
        <v>13</v>
      </c>
      <c r="H12" s="65">
        <f>INDEX(PlanejamentoDoEscritório[],MATCH(INDEX(VariaçõesDoEscritório[],ROW()-ROW(VariaçõesDoEscritório[[#Headers],[Jun]]),1),INDEX(PlanejamentoDoEscritório[],,1),0),MATCH(VariaçõesDoEscritório[[#Headers],[Jun]],PlanejamentoDoEscritório[#Headers],0))-INDEX(RealEscritório[],MATCH(INDEX(VariaçõesDoEscritório[],ROW()-ROW(VariaçõesDoEscritório[[#Headers],[Jun]]),1),INDEX(PlanejamentoDoEscritório[],,1),0),MATCH(VariaçõesDoEscritório[[#Headers],[Jun]],RealEscritório[#Headers],0))</f>
        <v>12</v>
      </c>
      <c r="I12" s="65">
        <f>INDEX(PlanejamentoDoEscritório[],MATCH(INDEX(VariaçõesDoEscritório[],ROW()-ROW(VariaçõesDoEscritório[[#Headers],[Jul]]),1),INDEX(PlanejamentoDoEscritório[],,1),0),MATCH(VariaçõesDoEscritório[[#Headers],[Jul]],PlanejamentoDoEscritório[#Headers],0))-INDEX(RealEscritório[],MATCH(INDEX(VariaçõesDoEscritório[],ROW()-ROW(VariaçõesDoEscritório[[#Headers],[Jul]]),1),INDEX(PlanejamentoDoEscritório[],,1),0),MATCH(VariaçõesDoEscritório[[#Headers],[Jul]],RealEscritório[#Headers],0))</f>
        <v>100</v>
      </c>
      <c r="J12" s="65">
        <f>INDEX(PlanejamentoDoEscritório[],MATCH(INDEX(VariaçõesDoEscritório[],ROW()-ROW(VariaçõesDoEscritório[[#Headers],[Ago]]),1),INDEX(PlanejamentoDoEscritório[],,1),0),MATCH(VariaçõesDoEscritório[[#Headers],[Ago]],PlanejamentoDoEscritório[#Headers],0))-INDEX(RealEscritório[],MATCH(INDEX(VariaçõesDoEscritório[],ROW()-ROW(VariaçõesDoEscritório[[#Headers],[Ago]]),1),INDEX(PlanejamentoDoEscritório[],,1),0),MATCH(VariaçõesDoEscritório[[#Headers],[Ago]],RealEscritório[#Headers],0))</f>
        <v>100</v>
      </c>
      <c r="K12" s="65">
        <f>INDEX(PlanejamentoDoEscritório[],MATCH(INDEX(VariaçõesDoEscritório[],ROW()-ROW(VariaçõesDoEscritório[[#Headers],[Set]]),1),INDEX(PlanejamentoDoEscritório[],,1),0),MATCH(VariaçõesDoEscritório[[#Headers],[Set]],PlanejamentoDoEscritório[#Headers],0))-INDEX(RealEscritório[],MATCH(INDEX(VariaçõesDoEscritório[],ROW()-ROW(VariaçõesDoEscritório[[#Headers],[Set]]),1),INDEX(PlanejamentoDoEscritório[],,1),0),MATCH(VariaçõesDoEscritório[[#Headers],[Set]],RealEscritório[#Headers],0))</f>
        <v>100</v>
      </c>
      <c r="L12" s="65">
        <f>INDEX(PlanejamentoDoEscritório[],MATCH(INDEX(VariaçõesDoEscritório[],ROW()-ROW(VariaçõesDoEscritório[[#Headers],[Out]]),1),INDEX(PlanejamentoDoEscritório[],,1),0),MATCH(VariaçõesDoEscritório[[#Headers],[Out]],PlanejamentoDoEscritório[#Headers],0))-INDEX(RealEscritório[],MATCH(INDEX(VariaçõesDoEscritório[],ROW()-ROW(VariaçõesDoEscritório[[#Headers],[Out]]),1),INDEX(PlanejamentoDoEscritório[],,1),0),MATCH(VariaçõesDoEscritório[[#Headers],[Out]],RealEscritório[#Headers],0))</f>
        <v>100</v>
      </c>
      <c r="M12" s="65">
        <f>INDEX(PlanejamentoDoEscritório[],MATCH(INDEX(VariaçõesDoEscritório[],ROW()-ROW(VariaçõesDoEscritório[[#Headers],[Nov]]),1),INDEX(PlanejamentoDoEscritório[],,1),0),MATCH(VariaçõesDoEscritório[[#Headers],[Nov]],PlanejamentoDoEscritório[#Headers],0))-INDEX(RealEscritório[],MATCH(INDEX(VariaçõesDoEscritório[],ROW()-ROW(VariaçõesDoEscritório[[#Headers],[Nov]]),1),INDEX(PlanejamentoDoEscritório[],,1),0),MATCH(VariaçõesDoEscritório[[#Headers],[Nov]],RealEscritório[#Headers],0))</f>
        <v>400</v>
      </c>
      <c r="N12" s="65">
        <f>INDEX(PlanejamentoDoEscritório[],MATCH(INDEX(VariaçõesDoEscritório[],ROW()-ROW(VariaçõesDoEscritório[[#Headers],[Dez]]),1),INDEX(PlanejamentoDoEscritório[],,1),0),MATCH(VariaçõesDoEscritório[[#Headers],[Dez]],PlanejamentoDoEscritório[#Headers],0))-INDEX(RealEscritório[],MATCH(INDEX(VariaçõesDoEscritório[],ROW()-ROW(VariaçõesDoEscritório[[#Headers],[Dez]]),1),INDEX(PlanejamentoDoEscritório[],,1),0),MATCH(VariaçõesDoEscritório[[#Headers],[Dez]],RealEscritório[#Headers],0))</f>
        <v>400</v>
      </c>
      <c r="O12" s="65">
        <f>SUM(VariaçõesDoEscritório[[#This Row],[Jan]:[Dez]])</f>
        <v>1076</v>
      </c>
      <c r="P12" s="10"/>
    </row>
    <row r="13" spans="1:16" ht="33.950000000000003" customHeight="1" x14ac:dyDescent="0.3">
      <c r="A13" s="6"/>
      <c r="B13" s="54" t="s">
        <v>14</v>
      </c>
      <c r="C13" s="65">
        <f>INDEX(PlanejamentoDoEscritório[],MATCH(INDEX(VariaçõesDoEscritório[],ROW()-ROW(VariaçõesDoEscritório[[#Headers],[Jan]]),1),INDEX(PlanejamentoDoEscritório[],,1),0),MATCH(VariaçõesDoEscritório[[#Headers],[Jan]],PlanejamentoDoEscritório[#Headers],0))-INDEX(RealEscritório[],MATCH(INDEX(VariaçõesDoEscritório[],ROW()-ROW(VariaçõesDoEscritório[[#Headers],[Jan]]),1),INDEX(PlanejamentoDoEscritório[],,1),0),MATCH(VariaçõesDoEscritório[[#Headers],[Jan]],RealEscritório[#Headers],0))</f>
        <v>12</v>
      </c>
      <c r="D13" s="65">
        <f>INDEX(PlanejamentoDoEscritório[],MATCH(INDEX(VariaçõesDoEscritório[],ROW()-ROW(VariaçõesDoEscritório[[#Headers],[Fev]]),1),INDEX(PlanejamentoDoEscritório[],,1),0),MATCH(VariaçõesDoEscritório[[#Headers],[Fev]],PlanejamentoDoEscritório[#Headers],0))-INDEX(RealEscritório[],MATCH(INDEX(VariaçõesDoEscritório[],ROW()-ROW(VariaçõesDoEscritório[[#Headers],[Fev]]),1),INDEX(PlanejamentoDoEscritório[],,1),0),MATCH(VariaçõesDoEscritório[[#Headers],[Fev]],RealEscritório[#Headers],0))</f>
        <v>22</v>
      </c>
      <c r="E13" s="65">
        <f>INDEX(PlanejamentoDoEscritório[],MATCH(INDEX(VariaçõesDoEscritório[],ROW()-ROW(VariaçõesDoEscritório[[#Headers],[Mar]]),1),INDEX(PlanejamentoDoEscritório[],,1),0),MATCH(VariaçõesDoEscritório[[#Headers],[Mar]],PlanejamentoDoEscritório[#Headers],0))-INDEX(RealEscritório[],MATCH(INDEX(VariaçõesDoEscritório[],ROW()-ROW(VariaçõesDoEscritório[[#Headers],[Mar]]),1),INDEX(PlanejamentoDoEscritório[],,1),0),MATCH(VariaçõesDoEscritório[[#Headers],[Mar]],RealEscritório[#Headers],0))</f>
        <v>32</v>
      </c>
      <c r="F13" s="65">
        <f>INDEX(PlanejamentoDoEscritório[],MATCH(INDEX(VariaçõesDoEscritório[],ROW()-ROW(VariaçõesDoEscritório[[#Headers],[Abr]]),1),INDEX(PlanejamentoDoEscritório[],,1),0),MATCH(VariaçõesDoEscritório[[#Headers],[Abr]],PlanejamentoDoEscritório[#Headers],0))-INDEX(RealEscritório[],MATCH(INDEX(VariaçõesDoEscritório[],ROW()-ROW(VariaçõesDoEscritório[[#Headers],[Abr]]),1),INDEX(PlanejamentoDoEscritório[],,1),0),MATCH(VariaçõesDoEscritório[[#Headers],[Abr]],RealEscritório[#Headers],0))</f>
        <v>1</v>
      </c>
      <c r="G13" s="65">
        <f>INDEX(PlanejamentoDoEscritório[],MATCH(INDEX(VariaçõesDoEscritório[],ROW()-ROW(VariaçõesDoEscritório[[#Headers],[Mai]]),1),INDEX(PlanejamentoDoEscritório[],,1),0),MATCH(VariaçõesDoEscritório[[#Headers],[Mai]],PlanejamentoDoEscritório[#Headers],0))-INDEX(RealEscritório[],MATCH(INDEX(VariaçõesDoEscritório[],ROW()-ROW(VariaçõesDoEscritório[[#Headers],[Mai]]),1),INDEX(PlanejamentoDoEscritório[],,1),0),MATCH(VariaçõesDoEscritório[[#Headers],[Mai]],RealEscritório[#Headers],0))</f>
        <v>-6</v>
      </c>
      <c r="H13" s="65">
        <f>INDEX(PlanejamentoDoEscritório[],MATCH(INDEX(VariaçõesDoEscritório[],ROW()-ROW(VariaçõesDoEscritório[[#Headers],[Jun]]),1),INDEX(PlanejamentoDoEscritório[],,1),0),MATCH(VariaçõesDoEscritório[[#Headers],[Jun]],PlanejamentoDoEscritório[#Headers],0))-INDEX(RealEscritório[],MATCH(INDEX(VariaçõesDoEscritório[],ROW()-ROW(VariaçõesDoEscritório[[#Headers],[Jun]]),1),INDEX(PlanejamentoDoEscritório[],,1),0),MATCH(VariaçõesDoEscritório[[#Headers],[Jun]],RealEscritório[#Headers],0))</f>
        <v>10</v>
      </c>
      <c r="I13" s="65">
        <f>INDEX(PlanejamentoDoEscritório[],MATCH(INDEX(VariaçõesDoEscritório[],ROW()-ROW(VariaçõesDoEscritório[[#Headers],[Jul]]),1),INDEX(PlanejamentoDoEscritório[],,1),0),MATCH(VariaçõesDoEscritório[[#Headers],[Jul]],PlanejamentoDoEscritório[#Headers],0))-INDEX(RealEscritório[],MATCH(INDEX(VariaçõesDoEscritório[],ROW()-ROW(VariaçõesDoEscritório[[#Headers],[Jul]]),1),INDEX(PlanejamentoDoEscritório[],,1),0),MATCH(VariaçõesDoEscritório[[#Headers],[Jul]],RealEscritório[#Headers],0))</f>
        <v>300</v>
      </c>
      <c r="J13" s="65">
        <f>INDEX(PlanejamentoDoEscritório[],MATCH(INDEX(VariaçõesDoEscritório[],ROW()-ROW(VariaçõesDoEscritório[[#Headers],[Ago]]),1),INDEX(PlanejamentoDoEscritório[],,1),0),MATCH(VariaçõesDoEscritório[[#Headers],[Ago]],PlanejamentoDoEscritório[#Headers],0))-INDEX(RealEscritório[],MATCH(INDEX(VariaçõesDoEscritório[],ROW()-ROW(VariaçõesDoEscritório[[#Headers],[Ago]]),1),INDEX(PlanejamentoDoEscritório[],,1),0),MATCH(VariaçõesDoEscritório[[#Headers],[Ago]],RealEscritório[#Headers],0))</f>
        <v>300</v>
      </c>
      <c r="K13" s="65">
        <f>INDEX(PlanejamentoDoEscritório[],MATCH(INDEX(VariaçõesDoEscritório[],ROW()-ROW(VariaçõesDoEscritório[[#Headers],[Set]]),1),INDEX(PlanejamentoDoEscritório[],,1),0),MATCH(VariaçõesDoEscritório[[#Headers],[Set]],PlanejamentoDoEscritório[#Headers],0))-INDEX(RealEscritório[],MATCH(INDEX(VariaçõesDoEscritório[],ROW()-ROW(VariaçõesDoEscritório[[#Headers],[Set]]),1),INDEX(PlanejamentoDoEscritório[],,1),0),MATCH(VariaçõesDoEscritório[[#Headers],[Set]],RealEscritório[#Headers],0))</f>
        <v>300</v>
      </c>
      <c r="L13" s="65">
        <f>INDEX(PlanejamentoDoEscritório[],MATCH(INDEX(VariaçõesDoEscritório[],ROW()-ROW(VariaçõesDoEscritório[[#Headers],[Out]]),1),INDEX(PlanejamentoDoEscritório[],,1),0),MATCH(VariaçõesDoEscritório[[#Headers],[Out]],PlanejamentoDoEscritório[#Headers],0))-INDEX(RealEscritório[],MATCH(INDEX(VariaçõesDoEscritório[],ROW()-ROW(VariaçõesDoEscritório[[#Headers],[Out]]),1),INDEX(PlanejamentoDoEscritório[],,1),0),MATCH(VariaçõesDoEscritório[[#Headers],[Out]],RealEscritório[#Headers],0))</f>
        <v>300</v>
      </c>
      <c r="M13" s="65">
        <f>INDEX(PlanejamentoDoEscritório[],MATCH(INDEX(VariaçõesDoEscritório[],ROW()-ROW(VariaçõesDoEscritório[[#Headers],[Nov]]),1),INDEX(PlanejamentoDoEscritório[],,1),0),MATCH(VariaçõesDoEscritório[[#Headers],[Nov]],PlanejamentoDoEscritório[#Headers],0))-INDEX(RealEscritório[],MATCH(INDEX(VariaçõesDoEscritório[],ROW()-ROW(VariaçõesDoEscritório[[#Headers],[Nov]]),1),INDEX(PlanejamentoDoEscritório[],,1),0),MATCH(VariaçõesDoEscritório[[#Headers],[Nov]],RealEscritório[#Headers],0))</f>
        <v>300</v>
      </c>
      <c r="N13" s="65">
        <f>INDEX(PlanejamentoDoEscritório[],MATCH(INDEX(VariaçõesDoEscritório[],ROW()-ROW(VariaçõesDoEscritório[[#Headers],[Dez]]),1),INDEX(PlanejamentoDoEscritório[],,1),0),MATCH(VariaçõesDoEscritório[[#Headers],[Dez]],PlanejamentoDoEscritório[#Headers],0))-INDEX(RealEscritório[],MATCH(INDEX(VariaçõesDoEscritório[],ROW()-ROW(VariaçõesDoEscritório[[#Headers],[Dez]]),1),INDEX(PlanejamentoDoEscritório[],,1),0),MATCH(VariaçõesDoEscritório[[#Headers],[Dez]],RealEscritório[#Headers],0))</f>
        <v>300</v>
      </c>
      <c r="O13" s="65">
        <f>SUM(VariaçõesDoEscritório[[#This Row],[Jan]:[Dez]])</f>
        <v>1871</v>
      </c>
      <c r="P13" s="10"/>
    </row>
    <row r="14" spans="1:16" ht="33.950000000000003" customHeight="1" x14ac:dyDescent="0.3">
      <c r="A14" s="6"/>
      <c r="B14" s="54" t="s">
        <v>15</v>
      </c>
      <c r="C14" s="65">
        <f>INDEX(PlanejamentoDoEscritório[],MATCH(INDEX(VariaçõesDoEscritório[],ROW()-ROW(VariaçõesDoEscritório[[#Headers],[Jan]]),1),INDEX(PlanejamentoDoEscritório[],,1),0),MATCH(VariaçõesDoEscritório[[#Headers],[Jan]],PlanejamentoDoEscritório[#Headers],0))-INDEX(RealEscritório[],MATCH(INDEX(VariaçõesDoEscritório[],ROW()-ROW(VariaçõesDoEscritório[[#Headers],[Jan]]),1),INDEX(PlanejamentoDoEscritório[],,1),0),MATCH(VariaçõesDoEscritório[[#Headers],[Jan]],RealEscritório[#Headers],0))</f>
        <v>5</v>
      </c>
      <c r="D14" s="65">
        <f>INDEX(PlanejamentoDoEscritório[],MATCH(INDEX(VariaçõesDoEscritório[],ROW()-ROW(VariaçõesDoEscritório[[#Headers],[Fev]]),1),INDEX(PlanejamentoDoEscritório[],,1),0),MATCH(VariaçõesDoEscritório[[#Headers],[Fev]],PlanejamentoDoEscritório[#Headers],0))-INDEX(RealEscritório[],MATCH(INDEX(VariaçõesDoEscritório[],ROW()-ROW(VariaçõesDoEscritório[[#Headers],[Fev]]),1),INDEX(PlanejamentoDoEscritório[],,1),0),MATCH(VariaçõesDoEscritório[[#Headers],[Fev]],RealEscritório[#Headers],0))</f>
        <v>7</v>
      </c>
      <c r="E14" s="65">
        <f>INDEX(PlanejamentoDoEscritório[],MATCH(INDEX(VariaçõesDoEscritório[],ROW()-ROW(VariaçõesDoEscritório[[#Headers],[Mar]]),1),INDEX(PlanejamentoDoEscritório[],,1),0),MATCH(VariaçõesDoEscritório[[#Headers],[Mar]],PlanejamentoDoEscritório[#Headers],0))-INDEX(RealEscritório[],MATCH(INDEX(VariaçõesDoEscritório[],ROW()-ROW(VariaçõesDoEscritório[[#Headers],[Mar]]),1),INDEX(PlanejamentoDoEscritório[],,1),0),MATCH(VariaçõesDoEscritório[[#Headers],[Mar]],RealEscritório[#Headers],0))</f>
        <v>6</v>
      </c>
      <c r="F14" s="65">
        <f>INDEX(PlanejamentoDoEscritório[],MATCH(INDEX(VariaçõesDoEscritório[],ROW()-ROW(VariaçõesDoEscritório[[#Headers],[Abr]]),1),INDEX(PlanejamentoDoEscritório[],,1),0),MATCH(VariaçõesDoEscritório[[#Headers],[Abr]],PlanejamentoDoEscritório[#Headers],0))-INDEX(RealEscritório[],MATCH(INDEX(VariaçõesDoEscritório[],ROW()-ROW(VariaçõesDoEscritório[[#Headers],[Abr]]),1),INDEX(PlanejamentoDoEscritório[],,1),0),MATCH(VariaçõesDoEscritório[[#Headers],[Abr]],RealEscritório[#Headers],0))</f>
        <v>4</v>
      </c>
      <c r="G14" s="65">
        <f>INDEX(PlanejamentoDoEscritório[],MATCH(INDEX(VariaçõesDoEscritório[],ROW()-ROW(VariaçõesDoEscritório[[#Headers],[Mai]]),1),INDEX(PlanejamentoDoEscritório[],,1),0),MATCH(VariaçõesDoEscritório[[#Headers],[Mai]],PlanejamentoDoEscritório[#Headers],0))-INDEX(RealEscritório[],MATCH(INDEX(VariaçõesDoEscritório[],ROW()-ROW(VariaçõesDoEscritório[[#Headers],[Mai]]),1),INDEX(PlanejamentoDoEscritório[],,1),0),MATCH(VariaçõesDoEscritório[[#Headers],[Mai]],RealEscritório[#Headers],0))</f>
        <v>6</v>
      </c>
      <c r="H14" s="65">
        <f>INDEX(PlanejamentoDoEscritório[],MATCH(INDEX(VariaçõesDoEscritório[],ROW()-ROW(VariaçõesDoEscritório[[#Headers],[Jun]]),1),INDEX(PlanejamentoDoEscritório[],,1),0),MATCH(VariaçõesDoEscritório[[#Headers],[Jun]],PlanejamentoDoEscritório[#Headers],0))-INDEX(RealEscritório[],MATCH(INDEX(VariaçõesDoEscritório[],ROW()-ROW(VariaçõesDoEscritório[[#Headers],[Jun]]),1),INDEX(PlanejamentoDoEscritório[],,1),0),MATCH(VariaçõesDoEscritório[[#Headers],[Jun]],RealEscritório[#Headers],0))</f>
        <v>4</v>
      </c>
      <c r="I14" s="65">
        <f>INDEX(PlanejamentoDoEscritório[],MATCH(INDEX(VariaçõesDoEscritório[],ROW()-ROW(VariaçõesDoEscritório[[#Headers],[Jul]]),1),INDEX(PlanejamentoDoEscritório[],,1),0),MATCH(VariaçõesDoEscritório[[#Headers],[Jul]],PlanejamentoDoEscritório[#Headers],0))-INDEX(RealEscritório[],MATCH(INDEX(VariaçõesDoEscritório[],ROW()-ROW(VariaçõesDoEscritório[[#Headers],[Jul]]),1),INDEX(PlanejamentoDoEscritório[],,1),0),MATCH(VariaçõesDoEscritório[[#Headers],[Jul]],RealEscritório[#Headers],0))</f>
        <v>40</v>
      </c>
      <c r="J14" s="65">
        <f>INDEX(PlanejamentoDoEscritório[],MATCH(INDEX(VariaçõesDoEscritório[],ROW()-ROW(VariaçõesDoEscritório[[#Headers],[Ago]]),1),INDEX(PlanejamentoDoEscritório[],,1),0),MATCH(VariaçõesDoEscritório[[#Headers],[Ago]],PlanejamentoDoEscritório[#Headers],0))-INDEX(RealEscritório[],MATCH(INDEX(VariaçõesDoEscritório[],ROW()-ROW(VariaçõesDoEscritório[[#Headers],[Ago]]),1),INDEX(PlanejamentoDoEscritório[],,1),0),MATCH(VariaçõesDoEscritório[[#Headers],[Ago]],RealEscritório[#Headers],0))</f>
        <v>40</v>
      </c>
      <c r="K14" s="65">
        <f>INDEX(PlanejamentoDoEscritório[],MATCH(INDEX(VariaçõesDoEscritório[],ROW()-ROW(VariaçõesDoEscritório[[#Headers],[Set]]),1),INDEX(PlanejamentoDoEscritório[],,1),0),MATCH(VariaçõesDoEscritório[[#Headers],[Set]],PlanejamentoDoEscritório[#Headers],0))-INDEX(RealEscritório[],MATCH(INDEX(VariaçõesDoEscritório[],ROW()-ROW(VariaçõesDoEscritório[[#Headers],[Set]]),1),INDEX(PlanejamentoDoEscritório[],,1),0),MATCH(VariaçõesDoEscritório[[#Headers],[Set]],RealEscritório[#Headers],0))</f>
        <v>40</v>
      </c>
      <c r="L14" s="65">
        <f>INDEX(PlanejamentoDoEscritório[],MATCH(INDEX(VariaçõesDoEscritório[],ROW()-ROW(VariaçõesDoEscritório[[#Headers],[Out]]),1),INDEX(PlanejamentoDoEscritório[],,1),0),MATCH(VariaçõesDoEscritório[[#Headers],[Out]],PlanejamentoDoEscritório[#Headers],0))-INDEX(RealEscritório[],MATCH(INDEX(VariaçõesDoEscritório[],ROW()-ROW(VariaçõesDoEscritório[[#Headers],[Out]]),1),INDEX(PlanejamentoDoEscritório[],,1),0),MATCH(VariaçõesDoEscritório[[#Headers],[Out]],RealEscritório[#Headers],0))</f>
        <v>40</v>
      </c>
      <c r="M14" s="65">
        <f>INDEX(PlanejamentoDoEscritório[],MATCH(INDEX(VariaçõesDoEscritório[],ROW()-ROW(VariaçõesDoEscritório[[#Headers],[Nov]]),1),INDEX(PlanejamentoDoEscritório[],,1),0),MATCH(VariaçõesDoEscritório[[#Headers],[Nov]],PlanejamentoDoEscritório[#Headers],0))-INDEX(RealEscritório[],MATCH(INDEX(VariaçõesDoEscritório[],ROW()-ROW(VariaçõesDoEscritório[[#Headers],[Nov]]),1),INDEX(PlanejamentoDoEscritório[],,1),0),MATCH(VariaçõesDoEscritório[[#Headers],[Nov]],RealEscritório[#Headers],0))</f>
        <v>40</v>
      </c>
      <c r="N14" s="65">
        <f>INDEX(PlanejamentoDoEscritório[],MATCH(INDEX(VariaçõesDoEscritório[],ROW()-ROW(VariaçõesDoEscritório[[#Headers],[Dez]]),1),INDEX(PlanejamentoDoEscritório[],,1),0),MATCH(VariaçõesDoEscritório[[#Headers],[Dez]],PlanejamentoDoEscritório[#Headers],0))-INDEX(RealEscritório[],MATCH(INDEX(VariaçõesDoEscritório[],ROW()-ROW(VariaçõesDoEscritório[[#Headers],[Dez]]),1),INDEX(PlanejamentoDoEscritório[],,1),0),MATCH(VariaçõesDoEscritório[[#Headers],[Dez]],RealEscritório[#Headers],0))</f>
        <v>40</v>
      </c>
      <c r="O14" s="65">
        <f>SUM(VariaçõesDoEscritório[[#This Row],[Jan]:[Dez]])</f>
        <v>272</v>
      </c>
      <c r="P14" s="10"/>
    </row>
    <row r="15" spans="1:16" ht="33.950000000000003" customHeight="1" x14ac:dyDescent="0.3">
      <c r="A15" s="6"/>
      <c r="B15" s="54" t="s">
        <v>16</v>
      </c>
      <c r="C15" s="65">
        <f>INDEX(PlanejamentoDoEscritório[],MATCH(INDEX(VariaçõesDoEscritório[],ROW()-ROW(VariaçõesDoEscritório[[#Headers],[Jan]]),1),INDEX(PlanejamentoDoEscritório[],,1),0),MATCH(VariaçõesDoEscritório[[#Headers],[Jan]],PlanejamentoDoEscritório[#Headers],0))-INDEX(RealEscritório[],MATCH(INDEX(VariaçõesDoEscritório[],ROW()-ROW(VariaçõesDoEscritório[[#Headers],[Jan]]),1),INDEX(PlanejamentoDoEscritório[],,1),0),MATCH(VariaçõesDoEscritório[[#Headers],[Jan]],RealEscritório[#Headers],0))</f>
        <v>26</v>
      </c>
      <c r="D15" s="65">
        <f>INDEX(PlanejamentoDoEscritório[],MATCH(INDEX(VariaçõesDoEscritório[],ROW()-ROW(VariaçõesDoEscritório[[#Headers],[Fev]]),1),INDEX(PlanejamentoDoEscritório[],,1),0),MATCH(VariaçõesDoEscritório[[#Headers],[Fev]],PlanejamentoDoEscritório[#Headers],0))-INDEX(RealEscritório[],MATCH(INDEX(VariaçõesDoEscritório[],ROW()-ROW(VariaçõesDoEscritório[[#Headers],[Fev]]),1),INDEX(PlanejamentoDoEscritório[],,1),0),MATCH(VariaçõesDoEscritório[[#Headers],[Fev]],RealEscritório[#Headers],0))</f>
        <v>15</v>
      </c>
      <c r="E15" s="65">
        <f>INDEX(PlanejamentoDoEscritório[],MATCH(INDEX(VariaçõesDoEscritório[],ROW()-ROW(VariaçõesDoEscritório[[#Headers],[Mar]]),1),INDEX(PlanejamentoDoEscritório[],,1),0),MATCH(VariaçõesDoEscritório[[#Headers],[Mar]],PlanejamentoDoEscritório[#Headers],0))-INDEX(RealEscritório[],MATCH(INDEX(VariaçõesDoEscritório[],ROW()-ROW(VariaçõesDoEscritório[[#Headers],[Mar]]),1),INDEX(PlanejamentoDoEscritório[],,1),0),MATCH(VariaçõesDoEscritório[[#Headers],[Mar]],RealEscritório[#Headers],0))</f>
        <v>-15</v>
      </c>
      <c r="F15" s="65">
        <f>INDEX(PlanejamentoDoEscritório[],MATCH(INDEX(VariaçõesDoEscritório[],ROW()-ROW(VariaçõesDoEscritório[[#Headers],[Abr]]),1),INDEX(PlanejamentoDoEscritório[],,1),0),MATCH(VariaçõesDoEscritório[[#Headers],[Abr]],PlanejamentoDoEscritório[#Headers],0))-INDEX(RealEscritório[],MATCH(INDEX(VariaçõesDoEscritório[],ROW()-ROW(VariaçõesDoEscritório[[#Headers],[Abr]]),1),INDEX(PlanejamentoDoEscritório[],,1),0),MATCH(VariaçõesDoEscritório[[#Headers],[Abr]],RealEscritório[#Headers],0))</f>
        <v>5</v>
      </c>
      <c r="G15" s="65">
        <f>INDEX(PlanejamentoDoEscritório[],MATCH(INDEX(VariaçõesDoEscritório[],ROW()-ROW(VariaçõesDoEscritório[[#Headers],[Mai]]),1),INDEX(PlanejamentoDoEscritório[],,1),0),MATCH(VariaçõesDoEscritório[[#Headers],[Mai]],PlanejamentoDoEscritório[#Headers],0))-INDEX(RealEscritório[],MATCH(INDEX(VariaçõesDoEscritório[],ROW()-ROW(VariaçõesDoEscritório[[#Headers],[Mai]]),1),INDEX(PlanejamentoDoEscritório[],,1),0),MATCH(VariaçõesDoEscritório[[#Headers],[Mai]],RealEscritório[#Headers],0))</f>
        <v>5</v>
      </c>
      <c r="H15" s="65">
        <f>INDEX(PlanejamentoDoEscritório[],MATCH(INDEX(VariaçõesDoEscritório[],ROW()-ROW(VariaçõesDoEscritório[[#Headers],[Jun]]),1),INDEX(PlanejamentoDoEscritório[],,1),0),MATCH(VariaçõesDoEscritório[[#Headers],[Jun]],PlanejamentoDoEscritório[#Headers],0))-INDEX(RealEscritório[],MATCH(INDEX(VariaçõesDoEscritório[],ROW()-ROW(VariaçõesDoEscritório[[#Headers],[Jun]]),1),INDEX(PlanejamentoDoEscritório[],,1),0),MATCH(VariaçõesDoEscritório[[#Headers],[Jun]],RealEscritório[#Headers],0))</f>
        <v>30</v>
      </c>
      <c r="I15" s="65">
        <f>INDEX(PlanejamentoDoEscritório[],MATCH(INDEX(VariaçõesDoEscritório[],ROW()-ROW(VariaçõesDoEscritório[[#Headers],[Jul]]),1),INDEX(PlanejamentoDoEscritório[],,1),0),MATCH(VariaçõesDoEscritório[[#Headers],[Jul]],PlanejamentoDoEscritório[#Headers],0))-INDEX(RealEscritório[],MATCH(INDEX(VariaçõesDoEscritório[],ROW()-ROW(VariaçõesDoEscritório[[#Headers],[Jul]]),1),INDEX(PlanejamentoDoEscritório[],,1),0),MATCH(VariaçõesDoEscritório[[#Headers],[Jul]],RealEscritório[#Headers],0))</f>
        <v>250</v>
      </c>
      <c r="J15" s="65">
        <f>INDEX(PlanejamentoDoEscritório[],MATCH(INDEX(VariaçõesDoEscritório[],ROW()-ROW(VariaçõesDoEscritório[[#Headers],[Ago]]),1),INDEX(PlanejamentoDoEscritório[],,1),0),MATCH(VariaçõesDoEscritório[[#Headers],[Ago]],PlanejamentoDoEscritório[#Headers],0))-INDEX(RealEscritório[],MATCH(INDEX(VariaçõesDoEscritório[],ROW()-ROW(VariaçõesDoEscritório[[#Headers],[Ago]]),1),INDEX(PlanejamentoDoEscritório[],,1),0),MATCH(VariaçõesDoEscritório[[#Headers],[Ago]],RealEscritório[#Headers],0))</f>
        <v>250</v>
      </c>
      <c r="K15" s="65">
        <f>INDEX(PlanejamentoDoEscritório[],MATCH(INDEX(VariaçõesDoEscritório[],ROW()-ROW(VariaçõesDoEscritório[[#Headers],[Set]]),1),INDEX(PlanejamentoDoEscritório[],,1),0),MATCH(VariaçõesDoEscritório[[#Headers],[Set]],PlanejamentoDoEscritório[#Headers],0))-INDEX(RealEscritório[],MATCH(INDEX(VariaçõesDoEscritório[],ROW()-ROW(VariaçõesDoEscritório[[#Headers],[Set]]),1),INDEX(PlanejamentoDoEscritório[],,1),0),MATCH(VariaçõesDoEscritório[[#Headers],[Set]],RealEscritório[#Headers],0))</f>
        <v>250</v>
      </c>
      <c r="L15" s="65">
        <f>INDEX(PlanejamentoDoEscritório[],MATCH(INDEX(VariaçõesDoEscritório[],ROW()-ROW(VariaçõesDoEscritório[[#Headers],[Out]]),1),INDEX(PlanejamentoDoEscritório[],,1),0),MATCH(VariaçõesDoEscritório[[#Headers],[Out]],PlanejamentoDoEscritório[#Headers],0))-INDEX(RealEscritório[],MATCH(INDEX(VariaçõesDoEscritório[],ROW()-ROW(VariaçõesDoEscritório[[#Headers],[Out]]),1),INDEX(PlanejamentoDoEscritório[],,1),0),MATCH(VariaçõesDoEscritório[[#Headers],[Out]],RealEscritório[#Headers],0))</f>
        <v>250</v>
      </c>
      <c r="M15" s="65">
        <f>INDEX(PlanejamentoDoEscritório[],MATCH(INDEX(VariaçõesDoEscritório[],ROW()-ROW(VariaçõesDoEscritório[[#Headers],[Nov]]),1),INDEX(PlanejamentoDoEscritório[],,1),0),MATCH(VariaçõesDoEscritório[[#Headers],[Nov]],PlanejamentoDoEscritório[#Headers],0))-INDEX(RealEscritório[],MATCH(INDEX(VariaçõesDoEscritório[],ROW()-ROW(VariaçõesDoEscritório[[#Headers],[Nov]]),1),INDEX(PlanejamentoDoEscritório[],,1),0),MATCH(VariaçõesDoEscritório[[#Headers],[Nov]],RealEscritório[#Headers],0))</f>
        <v>250</v>
      </c>
      <c r="N15" s="65">
        <f>INDEX(PlanejamentoDoEscritório[],MATCH(INDEX(VariaçõesDoEscritório[],ROW()-ROW(VariaçõesDoEscritório[[#Headers],[Dez]]),1),INDEX(PlanejamentoDoEscritório[],,1),0),MATCH(VariaçõesDoEscritório[[#Headers],[Dez]],PlanejamentoDoEscritório[#Headers],0))-INDEX(RealEscritório[],MATCH(INDEX(VariaçõesDoEscritório[],ROW()-ROW(VariaçõesDoEscritório[[#Headers],[Dez]]),1),INDEX(PlanejamentoDoEscritório[],,1),0),MATCH(VariaçõesDoEscritório[[#Headers],[Dez]],RealEscritório[#Headers],0))</f>
        <v>250</v>
      </c>
      <c r="O15" s="65">
        <f>SUM(VariaçõesDoEscritório[[#This Row],[Jan]:[Dez]])</f>
        <v>1566</v>
      </c>
      <c r="P15" s="10"/>
    </row>
    <row r="16" spans="1:16" ht="33.950000000000003" customHeight="1" x14ac:dyDescent="0.3">
      <c r="A16" s="6"/>
      <c r="B16" s="54" t="s">
        <v>17</v>
      </c>
      <c r="C16" s="65">
        <f>INDEX(PlanejamentoDoEscritório[],MATCH(INDEX(VariaçõesDoEscritório[],ROW()-ROW(VariaçõesDoEscritório[[#Headers],[Jan]]),1),INDEX(PlanejamentoDoEscritório[],,1),0),MATCH(VariaçõesDoEscritório[[#Headers],[Jan]],PlanejamentoDoEscritório[#Headers],0))-INDEX(RealEscritório[],MATCH(INDEX(VariaçõesDoEscritório[],ROW()-ROW(VariaçõesDoEscritório[[#Headers],[Jan]]),1),INDEX(PlanejamentoDoEscritório[],,1),0),MATCH(VariaçõesDoEscritório[[#Headers],[Jan]],RealEscritório[#Headers],0))</f>
        <v>0</v>
      </c>
      <c r="D16" s="65">
        <f>INDEX(PlanejamentoDoEscritório[],MATCH(INDEX(VariaçõesDoEscritório[],ROW()-ROW(VariaçõesDoEscritório[[#Headers],[Fev]]),1),INDEX(PlanejamentoDoEscritório[],,1),0),MATCH(VariaçõesDoEscritório[[#Headers],[Fev]],PlanejamentoDoEscritório[#Headers],0))-INDEX(RealEscritório[],MATCH(INDEX(VariaçõesDoEscritório[],ROW()-ROW(VariaçõesDoEscritório[[#Headers],[Fev]]),1),INDEX(PlanejamentoDoEscritório[],,1),0),MATCH(VariaçõesDoEscritório[[#Headers],[Fev]],RealEscritório[#Headers],0))</f>
        <v>0</v>
      </c>
      <c r="E16" s="65">
        <f>INDEX(PlanejamentoDoEscritório[],MATCH(INDEX(VariaçõesDoEscritório[],ROW()-ROW(VariaçõesDoEscritório[[#Headers],[Mar]]),1),INDEX(PlanejamentoDoEscritório[],,1),0),MATCH(VariaçõesDoEscritório[[#Headers],[Mar]],PlanejamentoDoEscritório[#Headers],0))-INDEX(RealEscritório[],MATCH(INDEX(VariaçõesDoEscritório[],ROW()-ROW(VariaçõesDoEscritório[[#Headers],[Mar]]),1),INDEX(PlanejamentoDoEscritório[],,1),0),MATCH(VariaçõesDoEscritório[[#Headers],[Mar]],RealEscritório[#Headers],0))</f>
        <v>0</v>
      </c>
      <c r="F16" s="65">
        <f>INDEX(PlanejamentoDoEscritório[],MATCH(INDEX(VariaçõesDoEscritório[],ROW()-ROW(VariaçõesDoEscritório[[#Headers],[Abr]]),1),INDEX(PlanejamentoDoEscritório[],,1),0),MATCH(VariaçõesDoEscritório[[#Headers],[Abr]],PlanejamentoDoEscritório[#Headers],0))-INDEX(RealEscritório[],MATCH(INDEX(VariaçõesDoEscritório[],ROW()-ROW(VariaçõesDoEscritório[[#Headers],[Abr]]),1),INDEX(PlanejamentoDoEscritório[],,1),0),MATCH(VariaçõesDoEscritório[[#Headers],[Abr]],RealEscritório[#Headers],0))</f>
        <v>0</v>
      </c>
      <c r="G16" s="65">
        <f>INDEX(PlanejamentoDoEscritório[],MATCH(INDEX(VariaçõesDoEscritório[],ROW()-ROW(VariaçõesDoEscritório[[#Headers],[Mai]]),1),INDEX(PlanejamentoDoEscritório[],,1),0),MATCH(VariaçõesDoEscritório[[#Headers],[Mai]],PlanejamentoDoEscritório[#Headers],0))-INDEX(RealEscritório[],MATCH(INDEX(VariaçõesDoEscritório[],ROW()-ROW(VariaçõesDoEscritório[[#Headers],[Mai]]),1),INDEX(PlanejamentoDoEscritório[],,1),0),MATCH(VariaçõesDoEscritório[[#Headers],[Mai]],RealEscritório[#Headers],0))</f>
        <v>0</v>
      </c>
      <c r="H16" s="65">
        <f>INDEX(PlanejamentoDoEscritório[],MATCH(INDEX(VariaçõesDoEscritório[],ROW()-ROW(VariaçõesDoEscritório[[#Headers],[Jun]]),1),INDEX(PlanejamentoDoEscritório[],,1),0),MATCH(VariaçõesDoEscritório[[#Headers],[Jun]],PlanejamentoDoEscritório[#Headers],0))-INDEX(RealEscritório[],MATCH(INDEX(VariaçõesDoEscritório[],ROW()-ROW(VariaçõesDoEscritório[[#Headers],[Jun]]),1),INDEX(PlanejamentoDoEscritório[],,1),0),MATCH(VariaçõesDoEscritório[[#Headers],[Jun]],RealEscritório[#Headers],0))</f>
        <v>0</v>
      </c>
      <c r="I16" s="65">
        <f>INDEX(PlanejamentoDoEscritório[],MATCH(INDEX(VariaçõesDoEscritório[],ROW()-ROW(VariaçõesDoEscritório[[#Headers],[Jul]]),1),INDEX(PlanejamentoDoEscritório[],,1),0),MATCH(VariaçõesDoEscritório[[#Headers],[Jul]],PlanejamentoDoEscritório[#Headers],0))-INDEX(RealEscritório[],MATCH(INDEX(VariaçõesDoEscritório[],ROW()-ROW(VariaçõesDoEscritório[[#Headers],[Jul]]),1),INDEX(PlanejamentoDoEscritório[],,1),0),MATCH(VariaçõesDoEscritório[[#Headers],[Jul]],RealEscritório[#Headers],0))</f>
        <v>180</v>
      </c>
      <c r="J16" s="65">
        <f>INDEX(PlanejamentoDoEscritório[],MATCH(INDEX(VariaçõesDoEscritório[],ROW()-ROW(VariaçõesDoEscritório[[#Headers],[Ago]]),1),INDEX(PlanejamentoDoEscritório[],,1),0),MATCH(VariaçõesDoEscritório[[#Headers],[Ago]],PlanejamentoDoEscritório[#Headers],0))-INDEX(RealEscritório[],MATCH(INDEX(VariaçõesDoEscritório[],ROW()-ROW(VariaçõesDoEscritório[[#Headers],[Ago]]),1),INDEX(PlanejamentoDoEscritório[],,1),0),MATCH(VariaçõesDoEscritório[[#Headers],[Ago]],RealEscritório[#Headers],0))</f>
        <v>180</v>
      </c>
      <c r="K16" s="65">
        <f>INDEX(PlanejamentoDoEscritório[],MATCH(INDEX(VariaçõesDoEscritório[],ROW()-ROW(VariaçõesDoEscritório[[#Headers],[Set]]),1),INDEX(PlanejamentoDoEscritório[],,1),0),MATCH(VariaçõesDoEscritório[[#Headers],[Set]],PlanejamentoDoEscritório[#Headers],0))-INDEX(RealEscritório[],MATCH(INDEX(VariaçõesDoEscritório[],ROW()-ROW(VariaçõesDoEscritório[[#Headers],[Set]]),1),INDEX(PlanejamentoDoEscritório[],,1),0),MATCH(VariaçõesDoEscritório[[#Headers],[Set]],RealEscritório[#Headers],0))</f>
        <v>180</v>
      </c>
      <c r="L16" s="65">
        <f>INDEX(PlanejamentoDoEscritório[],MATCH(INDEX(VariaçõesDoEscritório[],ROW()-ROW(VariaçõesDoEscritório[[#Headers],[Out]]),1),INDEX(PlanejamentoDoEscritório[],,1),0),MATCH(VariaçõesDoEscritório[[#Headers],[Out]],PlanejamentoDoEscritório[#Headers],0))-INDEX(RealEscritório[],MATCH(INDEX(VariaçõesDoEscritório[],ROW()-ROW(VariaçõesDoEscritório[[#Headers],[Out]]),1),INDEX(PlanejamentoDoEscritório[],,1),0),MATCH(VariaçõesDoEscritório[[#Headers],[Out]],RealEscritório[#Headers],0))</f>
        <v>180</v>
      </c>
      <c r="M16" s="65">
        <f>INDEX(PlanejamentoDoEscritório[],MATCH(INDEX(VariaçõesDoEscritório[],ROW()-ROW(VariaçõesDoEscritório[[#Headers],[Nov]]),1),INDEX(PlanejamentoDoEscritório[],,1),0),MATCH(VariaçõesDoEscritório[[#Headers],[Nov]],PlanejamentoDoEscritório[#Headers],0))-INDEX(RealEscritório[],MATCH(INDEX(VariaçõesDoEscritório[],ROW()-ROW(VariaçõesDoEscritório[[#Headers],[Nov]]),1),INDEX(PlanejamentoDoEscritório[],,1),0),MATCH(VariaçõesDoEscritório[[#Headers],[Nov]],RealEscritório[#Headers],0))</f>
        <v>180</v>
      </c>
      <c r="N16" s="65">
        <f>INDEX(PlanejamentoDoEscritório[],MATCH(INDEX(VariaçõesDoEscritório[],ROW()-ROW(VariaçõesDoEscritório[[#Headers],[Dez]]),1),INDEX(PlanejamentoDoEscritório[],,1),0),MATCH(VariaçõesDoEscritório[[#Headers],[Dez]],PlanejamentoDoEscritório[#Headers],0))-INDEX(RealEscritório[],MATCH(INDEX(VariaçõesDoEscritório[],ROW()-ROW(VariaçõesDoEscritório[[#Headers],[Dez]]),1),INDEX(PlanejamentoDoEscritório[],,1),0),MATCH(VariaçõesDoEscritório[[#Headers],[Dez]],RealEscritório[#Headers],0))</f>
        <v>180</v>
      </c>
      <c r="O16" s="65">
        <f>SUM(VariaçõesDoEscritório[[#This Row],[Jan]:[Dez]])</f>
        <v>1080</v>
      </c>
      <c r="P16" s="10"/>
    </row>
    <row r="17" spans="1:16" ht="33.950000000000003" customHeight="1" x14ac:dyDescent="0.3">
      <c r="A17" s="6"/>
      <c r="B17" s="54" t="s">
        <v>18</v>
      </c>
      <c r="C17" s="65">
        <f>INDEX(PlanejamentoDoEscritório[],MATCH(INDEX(VariaçõesDoEscritório[],ROW()-ROW(VariaçõesDoEscritório[[#Headers],[Jan]]),1),INDEX(PlanejamentoDoEscritório[],,1),0),MATCH(VariaçõesDoEscritório[[#Headers],[Jan]],PlanejamentoDoEscritório[#Headers],0))-INDEX(RealEscritório[],MATCH(INDEX(VariaçõesDoEscritório[],ROW()-ROW(VariaçõesDoEscritório[[#Headers],[Jan]]),1),INDEX(PlanejamentoDoEscritório[],,1),0),MATCH(VariaçõesDoEscritório[[#Headers],[Jan]],RealEscritório[#Headers],0))</f>
        <v>-56</v>
      </c>
      <c r="D17" s="65">
        <f>INDEX(PlanejamentoDoEscritório[],MATCH(INDEX(VariaçõesDoEscritório[],ROW()-ROW(VariaçõesDoEscritório[[#Headers],[Fev]]),1),INDEX(PlanejamentoDoEscritório[],,1),0),MATCH(VariaçõesDoEscritório[[#Headers],[Fev]],PlanejamentoDoEscritório[#Headers],0))-INDEX(RealEscritório[],MATCH(INDEX(VariaçõesDoEscritório[],ROW()-ROW(VariaçõesDoEscritório[[#Headers],[Fev]]),1),INDEX(PlanejamentoDoEscritório[],,1),0),MATCH(VariaçõesDoEscritório[[#Headers],[Fev]],RealEscritório[#Headers],0))</f>
        <v>58</v>
      </c>
      <c r="E17" s="65">
        <f>INDEX(PlanejamentoDoEscritório[],MATCH(INDEX(VariaçõesDoEscritório[],ROW()-ROW(VariaçõesDoEscritório[[#Headers],[Mar]]),1),INDEX(PlanejamentoDoEscritório[],,1),0),MATCH(VariaçõesDoEscritório[[#Headers],[Mar]],PlanejamentoDoEscritório[#Headers],0))-INDEX(RealEscritório[],MATCH(INDEX(VariaçõesDoEscritório[],ROW()-ROW(VariaçõesDoEscritório[[#Headers],[Mar]]),1),INDEX(PlanejamentoDoEscritório[],,1),0),MATCH(VariaçõesDoEscritório[[#Headers],[Mar]],RealEscritório[#Headers],0))</f>
        <v>40</v>
      </c>
      <c r="F17" s="65">
        <f>INDEX(PlanejamentoDoEscritório[],MATCH(INDEX(VariaçõesDoEscritório[],ROW()-ROW(VariaçõesDoEscritório[[#Headers],[Abr]]),1),INDEX(PlanejamentoDoEscritório[],,1),0),MATCH(VariaçõesDoEscritório[[#Headers],[Abr]],PlanejamentoDoEscritório[#Headers],0))-INDEX(RealEscritório[],MATCH(INDEX(VariaçõesDoEscritório[],ROW()-ROW(VariaçõesDoEscritório[[#Headers],[Abr]]),1),INDEX(PlanejamentoDoEscritório[],,1),0),MATCH(VariaçõesDoEscritório[[#Headers],[Abr]],RealEscritório[#Headers],0))</f>
        <v>-21</v>
      </c>
      <c r="G17" s="65">
        <f>INDEX(PlanejamentoDoEscritório[],MATCH(INDEX(VariaçõesDoEscritório[],ROW()-ROW(VariaçõesDoEscritório[[#Headers],[Mai]]),1),INDEX(PlanejamentoDoEscritório[],,1),0),MATCH(VariaçõesDoEscritório[[#Headers],[Mai]],PlanejamentoDoEscritório[#Headers],0))-INDEX(RealEscritório[],MATCH(INDEX(VariaçõesDoEscritório[],ROW()-ROW(VariaçõesDoEscritório[[#Headers],[Mai]]),1),INDEX(PlanejamentoDoEscritório[],,1),0),MATCH(VariaçõesDoEscritório[[#Headers],[Mai]],RealEscritório[#Headers],0))</f>
        <v>-56</v>
      </c>
      <c r="H17" s="65">
        <f>INDEX(PlanejamentoDoEscritório[],MATCH(INDEX(VariaçõesDoEscritório[],ROW()-ROW(VariaçõesDoEscritório[[#Headers],[Jun]]),1),INDEX(PlanejamentoDoEscritório[],,1),0),MATCH(VariaçõesDoEscritório[[#Headers],[Jun]],PlanejamentoDoEscritório[#Headers],0))-INDEX(RealEscritório[],MATCH(INDEX(VariaçõesDoEscritório[],ROW()-ROW(VariaçõesDoEscritório[[#Headers],[Jun]]),1),INDEX(PlanejamentoDoEscritório[],,1),0),MATCH(VariaçõesDoEscritório[[#Headers],[Jun]],RealEscritório[#Headers],0))</f>
        <v>-40</v>
      </c>
      <c r="I17" s="65">
        <f>INDEX(PlanejamentoDoEscritório[],MATCH(INDEX(VariaçõesDoEscritório[],ROW()-ROW(VariaçõesDoEscritório[[#Headers],[Jul]]),1),INDEX(PlanejamentoDoEscritório[],,1),0),MATCH(VariaçõesDoEscritório[[#Headers],[Jul]],PlanejamentoDoEscritório[#Headers],0))-INDEX(RealEscritório[],MATCH(INDEX(VariaçõesDoEscritório[],ROW()-ROW(VariaçõesDoEscritório[[#Headers],[Jul]]),1),INDEX(PlanejamentoDoEscritório[],,1),0),MATCH(VariaçõesDoEscritório[[#Headers],[Jul]],RealEscritório[#Headers],0))</f>
        <v>200</v>
      </c>
      <c r="J17" s="65">
        <f>INDEX(PlanejamentoDoEscritório[],MATCH(INDEX(VariaçõesDoEscritório[],ROW()-ROW(VariaçõesDoEscritório[[#Headers],[Ago]]),1),INDEX(PlanejamentoDoEscritório[],,1),0),MATCH(VariaçõesDoEscritório[[#Headers],[Ago]],PlanejamentoDoEscritório[#Headers],0))-INDEX(RealEscritório[],MATCH(INDEX(VariaçõesDoEscritório[],ROW()-ROW(VariaçõesDoEscritório[[#Headers],[Ago]]),1),INDEX(PlanejamentoDoEscritório[],,1),0),MATCH(VariaçõesDoEscritório[[#Headers],[Ago]],RealEscritório[#Headers],0))</f>
        <v>200</v>
      </c>
      <c r="K17" s="65">
        <f>INDEX(PlanejamentoDoEscritório[],MATCH(INDEX(VariaçõesDoEscritório[],ROW()-ROW(VariaçõesDoEscritório[[#Headers],[Set]]),1),INDEX(PlanejamentoDoEscritório[],,1),0),MATCH(VariaçõesDoEscritório[[#Headers],[Set]],PlanejamentoDoEscritório[#Headers],0))-INDEX(RealEscritório[],MATCH(INDEX(VariaçõesDoEscritório[],ROW()-ROW(VariaçõesDoEscritório[[#Headers],[Set]]),1),INDEX(PlanejamentoDoEscritório[],,1),0),MATCH(VariaçõesDoEscritório[[#Headers],[Set]],RealEscritório[#Headers],0))</f>
        <v>200</v>
      </c>
      <c r="L17" s="65">
        <f>INDEX(PlanejamentoDoEscritório[],MATCH(INDEX(VariaçõesDoEscritório[],ROW()-ROW(VariaçõesDoEscritório[[#Headers],[Out]]),1),INDEX(PlanejamentoDoEscritório[],,1),0),MATCH(VariaçõesDoEscritório[[#Headers],[Out]],PlanejamentoDoEscritório[#Headers],0))-INDEX(RealEscritório[],MATCH(INDEX(VariaçõesDoEscritório[],ROW()-ROW(VariaçõesDoEscritório[[#Headers],[Out]]),1),INDEX(PlanejamentoDoEscritório[],,1),0),MATCH(VariaçõesDoEscritório[[#Headers],[Out]],RealEscritório[#Headers],0))</f>
        <v>200</v>
      </c>
      <c r="M17" s="65">
        <f>INDEX(PlanejamentoDoEscritório[],MATCH(INDEX(VariaçõesDoEscritório[],ROW()-ROW(VariaçõesDoEscritório[[#Headers],[Nov]]),1),INDEX(PlanejamentoDoEscritório[],,1),0),MATCH(VariaçõesDoEscritório[[#Headers],[Nov]],PlanejamentoDoEscritório[#Headers],0))-INDEX(RealEscritório[],MATCH(INDEX(VariaçõesDoEscritório[],ROW()-ROW(VariaçõesDoEscritório[[#Headers],[Nov]]),1),INDEX(PlanejamentoDoEscritório[],,1),0),MATCH(VariaçõesDoEscritório[[#Headers],[Nov]],RealEscritório[#Headers],0))</f>
        <v>200</v>
      </c>
      <c r="N17" s="65">
        <f>INDEX(PlanejamentoDoEscritório[],MATCH(INDEX(VariaçõesDoEscritório[],ROW()-ROW(VariaçõesDoEscritório[[#Headers],[Dez]]),1),INDEX(PlanejamentoDoEscritório[],,1),0),MATCH(VariaçõesDoEscritório[[#Headers],[Dez]],PlanejamentoDoEscritório[#Headers],0))-INDEX(RealEscritório[],MATCH(INDEX(VariaçõesDoEscritório[],ROW()-ROW(VariaçõesDoEscritório[[#Headers],[Dez]]),1),INDEX(PlanejamentoDoEscritório[],,1),0),MATCH(VariaçõesDoEscritório[[#Headers],[Dez]],RealEscritório[#Headers],0))</f>
        <v>200</v>
      </c>
      <c r="O17" s="65">
        <f>SUM(VariaçõesDoEscritório[[#This Row],[Jan]:[Dez]])</f>
        <v>1125</v>
      </c>
      <c r="P17" s="10"/>
    </row>
    <row r="18" spans="1:16" ht="33.950000000000003" customHeight="1" x14ac:dyDescent="0.3">
      <c r="A18" s="6"/>
      <c r="B18" s="54" t="s">
        <v>19</v>
      </c>
      <c r="C18" s="65">
        <f>INDEX(PlanejamentoDoEscritório[],MATCH(INDEX(VariaçõesDoEscritório[],ROW()-ROW(VariaçõesDoEscritório[[#Headers],[Jan]]),1),INDEX(PlanejamentoDoEscritório[],,1),0),MATCH(VariaçõesDoEscritório[[#Headers],[Jan]],PlanejamentoDoEscritório[#Headers],0))-INDEX(RealEscritório[],MATCH(INDEX(VariaçõesDoEscritório[],ROW()-ROW(VariaçõesDoEscritório[[#Headers],[Jan]]),1),INDEX(PlanejamentoDoEscritório[],,1),0),MATCH(VariaçõesDoEscritório[[#Headers],[Jan]],RealEscritório[#Headers],0))</f>
        <v>0</v>
      </c>
      <c r="D18" s="65">
        <f>INDEX(PlanejamentoDoEscritório[],MATCH(INDEX(VariaçõesDoEscritório[],ROW()-ROW(VariaçõesDoEscritório[[#Headers],[Fev]]),1),INDEX(PlanejamentoDoEscritório[],,1),0),MATCH(VariaçõesDoEscritório[[#Headers],[Fev]],PlanejamentoDoEscritório[#Headers],0))-INDEX(RealEscritório[],MATCH(INDEX(VariaçõesDoEscritório[],ROW()-ROW(VariaçõesDoEscritório[[#Headers],[Fev]]),1),INDEX(PlanejamentoDoEscritório[],,1),0),MATCH(VariaçõesDoEscritório[[#Headers],[Fev]],RealEscritório[#Headers],0))</f>
        <v>0</v>
      </c>
      <c r="E18" s="65">
        <f>INDEX(PlanejamentoDoEscritório[],MATCH(INDEX(VariaçõesDoEscritório[],ROW()-ROW(VariaçõesDoEscritório[[#Headers],[Mar]]),1),INDEX(PlanejamentoDoEscritório[],,1),0),MATCH(VariaçõesDoEscritório[[#Headers],[Mar]],PlanejamentoDoEscritório[#Headers],0))-INDEX(RealEscritório[],MATCH(INDEX(VariaçõesDoEscritório[],ROW()-ROW(VariaçõesDoEscritório[[#Headers],[Mar]]),1),INDEX(PlanejamentoDoEscritório[],,1),0),MATCH(VariaçõesDoEscritório[[#Headers],[Mar]],RealEscritório[#Headers],0))</f>
        <v>0</v>
      </c>
      <c r="F18" s="65">
        <f>INDEX(PlanejamentoDoEscritório[],MATCH(INDEX(VariaçõesDoEscritório[],ROW()-ROW(VariaçõesDoEscritório[[#Headers],[Abr]]),1),INDEX(PlanejamentoDoEscritório[],,1),0),MATCH(VariaçõesDoEscritório[[#Headers],[Abr]],PlanejamentoDoEscritório[#Headers],0))-INDEX(RealEscritório[],MATCH(INDEX(VariaçõesDoEscritório[],ROW()-ROW(VariaçõesDoEscritório[[#Headers],[Abr]]),1),INDEX(PlanejamentoDoEscritório[],,1),0),MATCH(VariaçõesDoEscritório[[#Headers],[Abr]],RealEscritório[#Headers],0))</f>
        <v>0</v>
      </c>
      <c r="G18" s="65">
        <f>INDEX(PlanejamentoDoEscritório[],MATCH(INDEX(VariaçõesDoEscritório[],ROW()-ROW(VariaçõesDoEscritório[[#Headers],[Mai]]),1),INDEX(PlanejamentoDoEscritório[],,1),0),MATCH(VariaçõesDoEscritório[[#Headers],[Mai]],PlanejamentoDoEscritório[#Headers],0))-INDEX(RealEscritório[],MATCH(INDEX(VariaçõesDoEscritório[],ROW()-ROW(VariaçõesDoEscritório[[#Headers],[Mai]]),1),INDEX(PlanejamentoDoEscritório[],,1),0),MATCH(VariaçõesDoEscritório[[#Headers],[Mai]],RealEscritório[#Headers],0))</f>
        <v>0</v>
      </c>
      <c r="H18" s="65">
        <f>INDEX(PlanejamentoDoEscritório[],MATCH(INDEX(VariaçõesDoEscritório[],ROW()-ROW(VariaçõesDoEscritório[[#Headers],[Jun]]),1),INDEX(PlanejamentoDoEscritório[],,1),0),MATCH(VariaçõesDoEscritório[[#Headers],[Jun]],PlanejamentoDoEscritório[#Headers],0))-INDEX(RealEscritório[],MATCH(INDEX(VariaçõesDoEscritório[],ROW()-ROW(VariaçõesDoEscritório[[#Headers],[Jun]]),1),INDEX(PlanejamentoDoEscritório[],,1),0),MATCH(VariaçõesDoEscritório[[#Headers],[Jun]],RealEscritório[#Headers],0))</f>
        <v>0</v>
      </c>
      <c r="I18" s="65">
        <f>INDEX(PlanejamentoDoEscritório[],MATCH(INDEX(VariaçõesDoEscritório[],ROW()-ROW(VariaçõesDoEscritório[[#Headers],[Jul]]),1),INDEX(PlanejamentoDoEscritório[],,1),0),MATCH(VariaçõesDoEscritório[[#Headers],[Jul]],PlanejamentoDoEscritório[#Headers],0))-INDEX(RealEscritório[],MATCH(INDEX(VariaçõesDoEscritório[],ROW()-ROW(VariaçõesDoEscritório[[#Headers],[Jul]]),1),INDEX(PlanejamentoDoEscritório[],,1),0),MATCH(VariaçõesDoEscritório[[#Headers],[Jul]],RealEscritório[#Headers],0))</f>
        <v>600</v>
      </c>
      <c r="J18" s="65">
        <f>INDEX(PlanejamentoDoEscritório[],MATCH(INDEX(VariaçõesDoEscritório[],ROW()-ROW(VariaçõesDoEscritório[[#Headers],[Ago]]),1),INDEX(PlanejamentoDoEscritório[],,1),0),MATCH(VariaçõesDoEscritório[[#Headers],[Ago]],PlanejamentoDoEscritório[#Headers],0))-INDEX(RealEscritório[],MATCH(INDEX(VariaçõesDoEscritório[],ROW()-ROW(VariaçõesDoEscritório[[#Headers],[Ago]]),1),INDEX(PlanejamentoDoEscritório[],,1),0),MATCH(VariaçõesDoEscritório[[#Headers],[Ago]],RealEscritório[#Headers],0))</f>
        <v>600</v>
      </c>
      <c r="K18" s="65">
        <f>INDEX(PlanejamentoDoEscritório[],MATCH(INDEX(VariaçõesDoEscritório[],ROW()-ROW(VariaçõesDoEscritório[[#Headers],[Set]]),1),INDEX(PlanejamentoDoEscritório[],,1),0),MATCH(VariaçõesDoEscritório[[#Headers],[Set]],PlanejamentoDoEscritório[#Headers],0))-INDEX(RealEscritório[],MATCH(INDEX(VariaçõesDoEscritório[],ROW()-ROW(VariaçõesDoEscritório[[#Headers],[Set]]),1),INDEX(PlanejamentoDoEscritório[],,1),0),MATCH(VariaçõesDoEscritório[[#Headers],[Set]],RealEscritório[#Headers],0))</f>
        <v>600</v>
      </c>
      <c r="L18" s="65">
        <f>INDEX(PlanejamentoDoEscritório[],MATCH(INDEX(VariaçõesDoEscritório[],ROW()-ROW(VariaçõesDoEscritório[[#Headers],[Out]]),1),INDEX(PlanejamentoDoEscritório[],,1),0),MATCH(VariaçõesDoEscritório[[#Headers],[Out]],PlanejamentoDoEscritório[#Headers],0))-INDEX(RealEscritório[],MATCH(INDEX(VariaçõesDoEscritório[],ROW()-ROW(VariaçõesDoEscritório[[#Headers],[Out]]),1),INDEX(PlanejamentoDoEscritório[],,1),0),MATCH(VariaçõesDoEscritório[[#Headers],[Out]],RealEscritório[#Headers],0))</f>
        <v>600</v>
      </c>
      <c r="M18" s="65">
        <f>INDEX(PlanejamentoDoEscritório[],MATCH(INDEX(VariaçõesDoEscritório[],ROW()-ROW(VariaçõesDoEscritório[[#Headers],[Nov]]),1),INDEX(PlanejamentoDoEscritório[],,1),0),MATCH(VariaçõesDoEscritório[[#Headers],[Nov]],PlanejamentoDoEscritório[#Headers],0))-INDEX(RealEscritório[],MATCH(INDEX(VariaçõesDoEscritório[],ROW()-ROW(VariaçõesDoEscritório[[#Headers],[Nov]]),1),INDEX(PlanejamentoDoEscritório[],,1),0),MATCH(VariaçõesDoEscritório[[#Headers],[Nov]],RealEscritório[#Headers],0))</f>
        <v>600</v>
      </c>
      <c r="N18" s="65">
        <f>INDEX(PlanejamentoDoEscritório[],MATCH(INDEX(VariaçõesDoEscritório[],ROW()-ROW(VariaçõesDoEscritório[[#Headers],[Dez]]),1),INDEX(PlanejamentoDoEscritório[],,1),0),MATCH(VariaçõesDoEscritório[[#Headers],[Dez]],PlanejamentoDoEscritório[#Headers],0))-INDEX(RealEscritório[],MATCH(INDEX(VariaçõesDoEscritório[],ROW()-ROW(VariaçõesDoEscritório[[#Headers],[Dez]]),1),INDEX(PlanejamentoDoEscritório[],,1),0),MATCH(VariaçõesDoEscritório[[#Headers],[Dez]],RealEscritório[#Headers],0))</f>
        <v>600</v>
      </c>
      <c r="O18" s="65">
        <f>SUM(VariaçõesDoEscritório[[#This Row],[Jan]:[Dez]])</f>
        <v>3600</v>
      </c>
      <c r="P18" s="10"/>
    </row>
    <row r="19" spans="1:16" ht="33.950000000000003" customHeight="1" x14ac:dyDescent="0.3">
      <c r="A19" s="6"/>
      <c r="B19" s="55" t="s">
        <v>10</v>
      </c>
      <c r="C19" s="66">
        <f>SUBTOTAL(109,VariaçõesDoEscritório[Jan])</f>
        <v>-17</v>
      </c>
      <c r="D19" s="66">
        <f>SUBTOTAL(109,VariaçõesDoEscritório[Fev])</f>
        <v>72</v>
      </c>
      <c r="E19" s="66">
        <f>SUBTOTAL(109,VariaçõesDoEscritório[Mar])</f>
        <v>78</v>
      </c>
      <c r="F19" s="66">
        <f>SUBTOTAL(109,VariaçõesDoEscritório[Abr])</f>
        <v>-141</v>
      </c>
      <c r="G19" s="66">
        <f>SUBTOTAL(109,VariaçõesDoEscritório[Mai])</f>
        <v>-38</v>
      </c>
      <c r="H19" s="66">
        <f>SUBTOTAL(109,VariaçõesDoEscritório[Jun])</f>
        <v>16</v>
      </c>
      <c r="I19" s="66">
        <f>SUBTOTAL(109,VariaçõesDoEscritório[Jul])</f>
        <v>11470</v>
      </c>
      <c r="J19" s="66">
        <f>SUBTOTAL(109,VariaçõesDoEscritório[Ago])</f>
        <v>11470</v>
      </c>
      <c r="K19" s="66">
        <f>SUBTOTAL(109,VariaçõesDoEscritório[Set])</f>
        <v>11470</v>
      </c>
      <c r="L19" s="66">
        <f>SUBTOTAL(109,VariaçõesDoEscritório[Out])</f>
        <v>11470</v>
      </c>
      <c r="M19" s="66">
        <f>SUBTOTAL(109,VariaçõesDoEscritório[Nov])</f>
        <v>11770</v>
      </c>
      <c r="N19" s="66">
        <f>SUBTOTAL(109,VariaçõesDoEscritório[Dez])</f>
        <v>11770</v>
      </c>
      <c r="O19" s="66">
        <f>SUBTOTAL(109,VariaçõesDoEscritório[ANO])</f>
        <v>69390</v>
      </c>
      <c r="P19" s="10"/>
    </row>
    <row r="20" spans="1:16" ht="33.950000000000003" customHeight="1" x14ac:dyDescent="0.3">
      <c r="A20" s="6"/>
      <c r="B20" s="77"/>
      <c r="C20" s="77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</row>
    <row r="21" spans="1:16" ht="33.950000000000003" customHeight="1" x14ac:dyDescent="0.3">
      <c r="A21" s="6"/>
      <c r="B21" s="59" t="s">
        <v>20</v>
      </c>
      <c r="C21" s="43" t="s">
        <v>34</v>
      </c>
      <c r="D21" s="43" t="s">
        <v>36</v>
      </c>
      <c r="E21" s="43" t="s">
        <v>38</v>
      </c>
      <c r="F21" s="43" t="s">
        <v>40</v>
      </c>
      <c r="G21" s="43" t="s">
        <v>42</v>
      </c>
      <c r="H21" s="43" t="s">
        <v>44</v>
      </c>
      <c r="I21" s="43" t="s">
        <v>46</v>
      </c>
      <c r="J21" s="43" t="s">
        <v>48</v>
      </c>
      <c r="K21" s="43" t="s">
        <v>50</v>
      </c>
      <c r="L21" s="43" t="s">
        <v>52</v>
      </c>
      <c r="M21" s="43" t="s">
        <v>54</v>
      </c>
      <c r="N21" s="43" t="s">
        <v>56</v>
      </c>
      <c r="O21" s="43" t="s">
        <v>57</v>
      </c>
      <c r="P21" s="10"/>
    </row>
    <row r="22" spans="1:16" ht="33.950000000000003" customHeight="1" x14ac:dyDescent="0.3">
      <c r="A22" s="6"/>
      <c r="B22" s="58" t="s">
        <v>21</v>
      </c>
      <c r="C22" s="63">
        <f>INDEX(PlanejamentoDeMarketing[],MATCH(INDEX(VariaçõesDeMarketing[],ROW()-ROW(VariaçõesDeMarketing[[#Headers],[Jan]]),1),INDEX(PlanejamentoDeMarketing[],,1),0),MATCH(VariaçõesDeMarketing[[#Headers],[Jan]],PlanejamentoDeMarketing[#Headers],0))-INDEX(RealMarketing[],MATCH(INDEX(VariaçõesDeMarketing[],ROW()-ROW(VariaçõesDeMarketing[[#Headers],[Jan]]),1),INDEX(PlanejamentoDeMarketing[],,1),0),MATCH(VariaçõesDeMarketing[[#Headers],[Jan]],RealMarketing[#Headers],0))</f>
        <v>0</v>
      </c>
      <c r="D22" s="63">
        <f>INDEX(PlanejamentoDeMarketing[],MATCH(INDEX(VariaçõesDeMarketing[],ROW()-ROW(VariaçõesDeMarketing[[#Headers],[Fev]]),1),INDEX(PlanejamentoDeMarketing[],,1),0),MATCH(VariaçõesDeMarketing[[#Headers],[Fev]],PlanejamentoDeMarketing[#Headers],0))-INDEX(RealMarketing[],MATCH(INDEX(VariaçõesDeMarketing[],ROW()-ROW(VariaçõesDeMarketing[[#Headers],[Fev]]),1),INDEX(PlanejamentoDeMarketing[],,1),0),MATCH(VariaçõesDeMarketing[[#Headers],[Fev]],RealMarketing[#Headers],0))</f>
        <v>0</v>
      </c>
      <c r="E22" s="63">
        <f>INDEX(PlanejamentoDeMarketing[],MATCH(INDEX(VariaçõesDeMarketing[],ROW()-ROW(VariaçõesDeMarketing[[#Headers],[Mar]]),1),INDEX(PlanejamentoDeMarketing[],,1),0),MATCH(VariaçõesDeMarketing[[#Headers],[Mar]],PlanejamentoDeMarketing[#Headers],0))-INDEX(RealMarketing[],MATCH(INDEX(VariaçõesDeMarketing[],ROW()-ROW(VariaçõesDeMarketing[[#Headers],[Mar]]),1),INDEX(PlanejamentoDeMarketing[],,1),0),MATCH(VariaçõesDeMarketing[[#Headers],[Mar]],RealMarketing[#Headers],0))</f>
        <v>0</v>
      </c>
      <c r="F22" s="63">
        <f>INDEX(PlanejamentoDeMarketing[],MATCH(INDEX(VariaçõesDeMarketing[],ROW()-ROW(VariaçõesDeMarketing[[#Headers],[Abr]]),1),INDEX(PlanejamentoDeMarketing[],,1),0),MATCH(VariaçõesDeMarketing[[#Headers],[Abr]],PlanejamentoDeMarketing[#Headers],0))-INDEX(RealMarketing[],MATCH(INDEX(VariaçõesDeMarketing[],ROW()-ROW(VariaçõesDeMarketing[[#Headers],[Abr]]),1),INDEX(PlanejamentoDeMarketing[],,1),0),MATCH(VariaçõesDeMarketing[[#Headers],[Abr]],RealMarketing[#Headers],0))</f>
        <v>0</v>
      </c>
      <c r="G22" s="63">
        <f>INDEX(PlanejamentoDeMarketing[],MATCH(INDEX(VariaçõesDeMarketing[],ROW()-ROW(VariaçõesDeMarketing[[#Headers],[Mai]]),1),INDEX(PlanejamentoDeMarketing[],,1),0),MATCH(VariaçõesDeMarketing[[#Headers],[Mai]],PlanejamentoDeMarketing[#Headers],0))-INDEX(RealMarketing[],MATCH(INDEX(VariaçõesDeMarketing[],ROW()-ROW(VariaçõesDeMarketing[[#Headers],[Mai]]),1),INDEX(PlanejamentoDeMarketing[],,1),0),MATCH(VariaçõesDeMarketing[[#Headers],[Mai]],RealMarketing[#Headers],0))</f>
        <v>0</v>
      </c>
      <c r="H22" s="63">
        <f>INDEX(PlanejamentoDeMarketing[],MATCH(INDEX(VariaçõesDeMarketing[],ROW()-ROW(VariaçõesDeMarketing[[#Headers],[Jun]]),1),INDEX(PlanejamentoDeMarketing[],,1),0),MATCH(VariaçõesDeMarketing[[#Headers],[Jun]],PlanejamentoDeMarketing[#Headers],0))-INDEX(RealMarketing[],MATCH(INDEX(VariaçõesDeMarketing[],ROW()-ROW(VariaçõesDeMarketing[[#Headers],[Jun]]),1),INDEX(PlanejamentoDeMarketing[],,1),0),MATCH(VariaçõesDeMarketing[[#Headers],[Jun]],RealMarketing[#Headers],0))</f>
        <v>0</v>
      </c>
      <c r="I22" s="63">
        <f>INDEX(PlanejamentoDeMarketing[],MATCH(INDEX(VariaçõesDeMarketing[],ROW()-ROW(VariaçõesDeMarketing[[#Headers],[Jul]]),1),INDEX(PlanejamentoDeMarketing[],,1),0),MATCH(VariaçõesDeMarketing[[#Headers],[Jul]],PlanejamentoDeMarketing[#Headers],0))-INDEX(RealMarketing[],MATCH(INDEX(VariaçõesDeMarketing[],ROW()-ROW(VariaçõesDeMarketing[[#Headers],[Jul]]),1),INDEX(PlanejamentoDeMarketing[],,1),0),MATCH(VariaçõesDeMarketing[[#Headers],[Jul]],RealMarketing[#Headers],0))</f>
        <v>500</v>
      </c>
      <c r="J22" s="63">
        <f>INDEX(PlanejamentoDeMarketing[],MATCH(INDEX(VariaçõesDeMarketing[],ROW()-ROW(VariaçõesDeMarketing[[#Headers],[Ago]]),1),INDEX(PlanejamentoDeMarketing[],,1),0),MATCH(VariaçõesDeMarketing[[#Headers],[Ago]],PlanejamentoDeMarketing[#Headers],0))-INDEX(RealMarketing[],MATCH(INDEX(VariaçõesDeMarketing[],ROW()-ROW(VariaçõesDeMarketing[[#Headers],[Ago]]),1),INDEX(PlanejamentoDeMarketing[],,1),0),MATCH(VariaçõesDeMarketing[[#Headers],[Ago]],RealMarketing[#Headers],0))</f>
        <v>500</v>
      </c>
      <c r="K22" s="63">
        <f>INDEX(PlanejamentoDeMarketing[],MATCH(INDEX(VariaçõesDeMarketing[],ROW()-ROW(VariaçõesDeMarketing[[#Headers],[Set]]),1),INDEX(PlanejamentoDeMarketing[],,1),0),MATCH(VariaçõesDeMarketing[[#Headers],[Set]],PlanejamentoDeMarketing[#Headers],0))-INDEX(RealMarketing[],MATCH(INDEX(VariaçõesDeMarketing[],ROW()-ROW(VariaçõesDeMarketing[[#Headers],[Set]]),1),INDEX(PlanejamentoDeMarketing[],,1),0),MATCH(VariaçõesDeMarketing[[#Headers],[Set]],RealMarketing[#Headers],0))</f>
        <v>500</v>
      </c>
      <c r="L22" s="63">
        <f>INDEX(PlanejamentoDeMarketing[],MATCH(INDEX(VariaçõesDeMarketing[],ROW()-ROW(VariaçõesDeMarketing[[#Headers],[Out]]),1),INDEX(PlanejamentoDeMarketing[],,1),0),MATCH(VariaçõesDeMarketing[[#Headers],[Out]],PlanejamentoDeMarketing[#Headers],0))-INDEX(RealMarketing[],MATCH(INDEX(VariaçõesDeMarketing[],ROW()-ROW(VariaçõesDeMarketing[[#Headers],[Out]]),1),INDEX(PlanejamentoDeMarketing[],,1),0),MATCH(VariaçõesDeMarketing[[#Headers],[Out]],RealMarketing[#Headers],0))</f>
        <v>500</v>
      </c>
      <c r="M22" s="63">
        <f>INDEX(PlanejamentoDeMarketing[],MATCH(INDEX(VariaçõesDeMarketing[],ROW()-ROW(VariaçõesDeMarketing[[#Headers],[Nov]]),1),INDEX(PlanejamentoDeMarketing[],,1),0),MATCH(VariaçõesDeMarketing[[#Headers],[Nov]],PlanejamentoDeMarketing[#Headers],0))-INDEX(RealMarketing[],MATCH(INDEX(VariaçõesDeMarketing[],ROW()-ROW(VariaçõesDeMarketing[[#Headers],[Nov]]),1),INDEX(PlanejamentoDeMarketing[],,1),0),MATCH(VariaçõesDeMarketing[[#Headers],[Nov]],RealMarketing[#Headers],0))</f>
        <v>500</v>
      </c>
      <c r="N22" s="63">
        <f>INDEX(PlanejamentoDeMarketing[],MATCH(INDEX(VariaçõesDeMarketing[],ROW()-ROW(VariaçõesDeMarketing[[#Headers],[Dez]]),1),INDEX(PlanejamentoDeMarketing[],,1),0),MATCH(VariaçõesDeMarketing[[#Headers],[Dez]],PlanejamentoDeMarketing[#Headers],0))-INDEX(RealMarketing[],MATCH(INDEX(VariaçõesDeMarketing[],ROW()-ROW(VariaçõesDeMarketing[[#Headers],[Dez]]),1),INDEX(PlanejamentoDeMarketing[],,1),0),MATCH(VariaçõesDeMarketing[[#Headers],[Dez]],RealMarketing[#Headers],0))</f>
        <v>500</v>
      </c>
      <c r="O22" s="63">
        <f>SUM(VariaçõesDeMarketing[[#This Row],[Jan]:[Dez]])</f>
        <v>3000</v>
      </c>
      <c r="P22" s="10"/>
    </row>
    <row r="23" spans="1:16" ht="33.950000000000003" customHeight="1" x14ac:dyDescent="0.3">
      <c r="A23" s="6"/>
      <c r="B23" s="58" t="s">
        <v>22</v>
      </c>
      <c r="C23" s="63">
        <f>INDEX(PlanejamentoDeMarketing[],MATCH(INDEX(VariaçõesDeMarketing[],ROW()-ROW(VariaçõesDeMarketing[[#Headers],[Jan]]),1),INDEX(PlanejamentoDeMarketing[],,1),0),MATCH(VariaçõesDeMarketing[[#Headers],[Jan]],PlanejamentoDeMarketing[#Headers],0))-INDEX(RealMarketing[],MATCH(INDEX(VariaçõesDeMarketing[],ROW()-ROW(VariaçõesDeMarketing[[#Headers],[Jan]]),1),INDEX(PlanejamentoDeMarketing[],,1),0),MATCH(VariaçõesDeMarketing[[#Headers],[Jan]],RealMarketing[#Headers],0))</f>
        <v>0</v>
      </c>
      <c r="D23" s="63">
        <f>INDEX(PlanejamentoDeMarketing[],MATCH(INDEX(VariaçõesDeMarketing[],ROW()-ROW(VariaçõesDeMarketing[[#Headers],[Fev]]),1),INDEX(PlanejamentoDeMarketing[],,1),0),MATCH(VariaçõesDeMarketing[[#Headers],[Fev]],PlanejamentoDeMarketing[#Headers],0))-INDEX(RealMarketing[],MATCH(INDEX(VariaçõesDeMarketing[],ROW()-ROW(VariaçõesDeMarketing[[#Headers],[Fev]]),1),INDEX(PlanejamentoDeMarketing[],,1),0),MATCH(VariaçõesDeMarketing[[#Headers],[Fev]],RealMarketing[#Headers],0))</f>
        <v>0</v>
      </c>
      <c r="E23" s="63">
        <f>INDEX(PlanejamentoDeMarketing[],MATCH(INDEX(VariaçõesDeMarketing[],ROW()-ROW(VariaçõesDeMarketing[[#Headers],[Mar]]),1),INDEX(PlanejamentoDeMarketing[],,1),0),MATCH(VariaçõesDeMarketing[[#Headers],[Mar]],PlanejamentoDeMarketing[#Headers],0))-INDEX(RealMarketing[],MATCH(INDEX(VariaçõesDeMarketing[],ROW()-ROW(VariaçõesDeMarketing[[#Headers],[Mar]]),1),INDEX(PlanejamentoDeMarketing[],,1),0),MATCH(VariaçõesDeMarketing[[#Headers],[Mar]],RealMarketing[#Headers],0))</f>
        <v>0</v>
      </c>
      <c r="F23" s="63">
        <f>INDEX(PlanejamentoDeMarketing[],MATCH(INDEX(VariaçõesDeMarketing[],ROW()-ROW(VariaçõesDeMarketing[[#Headers],[Abr]]),1),INDEX(PlanejamentoDeMarketing[],,1),0),MATCH(VariaçõesDeMarketing[[#Headers],[Abr]],PlanejamentoDeMarketing[#Headers],0))-INDEX(RealMarketing[],MATCH(INDEX(VariaçõesDeMarketing[],ROW()-ROW(VariaçõesDeMarketing[[#Headers],[Abr]]),1),INDEX(PlanejamentoDeMarketing[],,1),0),MATCH(VariaçõesDeMarketing[[#Headers],[Abr]],RealMarketing[#Headers],0))</f>
        <v>0</v>
      </c>
      <c r="G23" s="63">
        <f>INDEX(PlanejamentoDeMarketing[],MATCH(INDEX(VariaçõesDeMarketing[],ROW()-ROW(VariaçõesDeMarketing[[#Headers],[Mai]]),1),INDEX(PlanejamentoDeMarketing[],,1),0),MATCH(VariaçõesDeMarketing[[#Headers],[Mai]],PlanejamentoDeMarketing[#Headers],0))-INDEX(RealMarketing[],MATCH(INDEX(VariaçõesDeMarketing[],ROW()-ROW(VariaçõesDeMarketing[[#Headers],[Mai]]),1),INDEX(PlanejamentoDeMarketing[],,1),0),MATCH(VariaçõesDeMarketing[[#Headers],[Mai]],RealMarketing[#Headers],0))</f>
        <v>0</v>
      </c>
      <c r="H23" s="63">
        <f>INDEX(PlanejamentoDeMarketing[],MATCH(INDEX(VariaçõesDeMarketing[],ROW()-ROW(VariaçõesDeMarketing[[#Headers],[Jun]]),1),INDEX(PlanejamentoDeMarketing[],,1),0),MATCH(VariaçõesDeMarketing[[#Headers],[Jun]],PlanejamentoDeMarketing[#Headers],0))-INDEX(RealMarketing[],MATCH(INDEX(VariaçõesDeMarketing[],ROW()-ROW(VariaçõesDeMarketing[[#Headers],[Jun]]),1),INDEX(PlanejamentoDeMarketing[],,1),0),MATCH(VariaçõesDeMarketing[[#Headers],[Jun]],RealMarketing[#Headers],0))</f>
        <v>-500</v>
      </c>
      <c r="I23" s="63">
        <f>INDEX(PlanejamentoDeMarketing[],MATCH(INDEX(VariaçõesDeMarketing[],ROW()-ROW(VariaçõesDeMarketing[[#Headers],[Jul]]),1),INDEX(PlanejamentoDeMarketing[],,1),0),MATCH(VariaçõesDeMarketing[[#Headers],[Jul]],PlanejamentoDeMarketing[#Headers],0))-INDEX(RealMarketing[],MATCH(INDEX(VariaçõesDeMarketing[],ROW()-ROW(VariaçõesDeMarketing[[#Headers],[Jul]]),1),INDEX(PlanejamentoDeMarketing[],,1),0),MATCH(VariaçõesDeMarketing[[#Headers],[Jul]],RealMarketing[#Headers],0))</f>
        <v>200</v>
      </c>
      <c r="J23" s="63">
        <f>INDEX(PlanejamentoDeMarketing[],MATCH(INDEX(VariaçõesDeMarketing[],ROW()-ROW(VariaçõesDeMarketing[[#Headers],[Ago]]),1),INDEX(PlanejamentoDeMarketing[],,1),0),MATCH(VariaçõesDeMarketing[[#Headers],[Ago]],PlanejamentoDeMarketing[#Headers],0))-INDEX(RealMarketing[],MATCH(INDEX(VariaçõesDeMarketing[],ROW()-ROW(VariaçõesDeMarketing[[#Headers],[Ago]]),1),INDEX(PlanejamentoDeMarketing[],,1),0),MATCH(VariaçõesDeMarketing[[#Headers],[Ago]],RealMarketing[#Headers],0))</f>
        <v>200</v>
      </c>
      <c r="K23" s="63">
        <f>INDEX(PlanejamentoDeMarketing[],MATCH(INDEX(VariaçõesDeMarketing[],ROW()-ROW(VariaçõesDeMarketing[[#Headers],[Set]]),1),INDEX(PlanejamentoDeMarketing[],,1),0),MATCH(VariaçõesDeMarketing[[#Headers],[Set]],PlanejamentoDeMarketing[#Headers],0))-INDEX(RealMarketing[],MATCH(INDEX(VariaçõesDeMarketing[],ROW()-ROW(VariaçõesDeMarketing[[#Headers],[Set]]),1),INDEX(PlanejamentoDeMarketing[],,1),0),MATCH(VariaçõesDeMarketing[[#Headers],[Set]],RealMarketing[#Headers],0))</f>
        <v>200</v>
      </c>
      <c r="L23" s="63">
        <f>INDEX(PlanejamentoDeMarketing[],MATCH(INDEX(VariaçõesDeMarketing[],ROW()-ROW(VariaçõesDeMarketing[[#Headers],[Out]]),1),INDEX(PlanejamentoDeMarketing[],,1),0),MATCH(VariaçõesDeMarketing[[#Headers],[Out]],PlanejamentoDeMarketing[#Headers],0))-INDEX(RealMarketing[],MATCH(INDEX(VariaçõesDeMarketing[],ROW()-ROW(VariaçõesDeMarketing[[#Headers],[Out]]),1),INDEX(PlanejamentoDeMarketing[],,1),0),MATCH(VariaçõesDeMarketing[[#Headers],[Out]],RealMarketing[#Headers],0))</f>
        <v>200</v>
      </c>
      <c r="M23" s="63">
        <f>INDEX(PlanejamentoDeMarketing[],MATCH(INDEX(VariaçõesDeMarketing[],ROW()-ROW(VariaçõesDeMarketing[[#Headers],[Nov]]),1),INDEX(PlanejamentoDeMarketing[],,1),0),MATCH(VariaçõesDeMarketing[[#Headers],[Nov]],PlanejamentoDeMarketing[#Headers],0))-INDEX(RealMarketing[],MATCH(INDEX(VariaçõesDeMarketing[],ROW()-ROW(VariaçõesDeMarketing[[#Headers],[Nov]]),1),INDEX(PlanejamentoDeMarketing[],,1),0),MATCH(VariaçõesDeMarketing[[#Headers],[Nov]],RealMarketing[#Headers],0))</f>
        <v>200</v>
      </c>
      <c r="N23" s="63">
        <f>INDEX(PlanejamentoDeMarketing[],MATCH(INDEX(VariaçõesDeMarketing[],ROW()-ROW(VariaçõesDeMarketing[[#Headers],[Dez]]),1),INDEX(PlanejamentoDeMarketing[],,1),0),MATCH(VariaçõesDeMarketing[[#Headers],[Dez]],PlanejamentoDeMarketing[#Headers],0))-INDEX(RealMarketing[],MATCH(INDEX(VariaçõesDeMarketing[],ROW()-ROW(VariaçõesDeMarketing[[#Headers],[Dez]]),1),INDEX(PlanejamentoDeMarketing[],,1),0),MATCH(VariaçõesDeMarketing[[#Headers],[Dez]],RealMarketing[#Headers],0))</f>
        <v>1000</v>
      </c>
      <c r="O23" s="63">
        <f>SUM(VariaçõesDeMarketing[[#This Row],[Jan]:[Dez]])</f>
        <v>1500</v>
      </c>
      <c r="P23" s="10"/>
    </row>
    <row r="24" spans="1:16" ht="33.950000000000003" customHeight="1" x14ac:dyDescent="0.3">
      <c r="A24" s="6"/>
      <c r="B24" s="58" t="s">
        <v>23</v>
      </c>
      <c r="C24" s="63">
        <f>INDEX(PlanejamentoDeMarketing[],MATCH(INDEX(VariaçõesDeMarketing[],ROW()-ROW(VariaçõesDeMarketing[[#Headers],[Jan]]),1),INDEX(PlanejamentoDeMarketing[],,1),0),MATCH(VariaçõesDeMarketing[[#Headers],[Jan]],PlanejamentoDeMarketing[#Headers],0))-INDEX(RealMarketing[],MATCH(INDEX(VariaçõesDeMarketing[],ROW()-ROW(VariaçõesDeMarketing[[#Headers],[Jan]]),1),INDEX(PlanejamentoDeMarketing[],,1),0),MATCH(VariaçõesDeMarketing[[#Headers],[Jan]],RealMarketing[#Headers],0))</f>
        <v>200</v>
      </c>
      <c r="D24" s="63">
        <f>INDEX(PlanejamentoDeMarketing[],MATCH(INDEX(VariaçõesDeMarketing[],ROW()-ROW(VariaçõesDeMarketing[[#Headers],[Fev]]),1),INDEX(PlanejamentoDeMarketing[],,1),0),MATCH(VariaçõesDeMarketing[[#Headers],[Fev]],PlanejamentoDeMarketing[#Headers],0))-INDEX(RealMarketing[],MATCH(INDEX(VariaçõesDeMarketing[],ROW()-ROW(VariaçõesDeMarketing[[#Headers],[Fev]]),1),INDEX(PlanejamentoDeMarketing[],,1),0),MATCH(VariaçõesDeMarketing[[#Headers],[Fev]],RealMarketing[#Headers],0))</f>
        <v>0</v>
      </c>
      <c r="E24" s="63">
        <f>INDEX(PlanejamentoDeMarketing[],MATCH(INDEX(VariaçõesDeMarketing[],ROW()-ROW(VariaçõesDeMarketing[[#Headers],[Mar]]),1),INDEX(PlanejamentoDeMarketing[],,1),0),MATCH(VariaçõesDeMarketing[[#Headers],[Mar]],PlanejamentoDeMarketing[#Headers],0))-INDEX(RealMarketing[],MATCH(INDEX(VariaçõesDeMarketing[],ROW()-ROW(VariaçõesDeMarketing[[#Headers],[Mar]]),1),INDEX(PlanejamentoDeMarketing[],,1),0),MATCH(VariaçõesDeMarketing[[#Headers],[Mar]],RealMarketing[#Headers],0))</f>
        <v>0</v>
      </c>
      <c r="F24" s="63">
        <f>INDEX(PlanejamentoDeMarketing[],MATCH(INDEX(VariaçõesDeMarketing[],ROW()-ROW(VariaçõesDeMarketing[[#Headers],[Abr]]),1),INDEX(PlanejamentoDeMarketing[],,1),0),MATCH(VariaçõesDeMarketing[[#Headers],[Abr]],PlanejamentoDeMarketing[#Headers],0))-INDEX(RealMarketing[],MATCH(INDEX(VariaçõesDeMarketing[],ROW()-ROW(VariaçõesDeMarketing[[#Headers],[Abr]]),1),INDEX(PlanejamentoDeMarketing[],,1),0),MATCH(VariaçõesDeMarketing[[#Headers],[Abr]],RealMarketing[#Headers],0))</f>
        <v>-500</v>
      </c>
      <c r="G24" s="63">
        <f>INDEX(PlanejamentoDeMarketing[],MATCH(INDEX(VariaçõesDeMarketing[],ROW()-ROW(VariaçõesDeMarketing[[#Headers],[Mai]]),1),INDEX(PlanejamentoDeMarketing[],,1),0),MATCH(VariaçõesDeMarketing[[#Headers],[Mai]],PlanejamentoDeMarketing[#Headers],0))-INDEX(RealMarketing[],MATCH(INDEX(VariaçõesDeMarketing[],ROW()-ROW(VariaçõesDeMarketing[[#Headers],[Mai]]),1),INDEX(PlanejamentoDeMarketing[],,1),0),MATCH(VariaçõesDeMarketing[[#Headers],[Mai]],RealMarketing[#Headers],0))</f>
        <v>0</v>
      </c>
      <c r="H24" s="63">
        <f>INDEX(PlanejamentoDeMarketing[],MATCH(INDEX(VariaçõesDeMarketing[],ROW()-ROW(VariaçõesDeMarketing[[#Headers],[Jun]]),1),INDEX(PlanejamentoDeMarketing[],,1),0),MATCH(VariaçõesDeMarketing[[#Headers],[Jun]],PlanejamentoDeMarketing[#Headers],0))-INDEX(RealMarketing[],MATCH(INDEX(VariaçõesDeMarketing[],ROW()-ROW(VariaçõesDeMarketing[[#Headers],[Jun]]),1),INDEX(PlanejamentoDeMarketing[],,1),0),MATCH(VariaçõesDeMarketing[[#Headers],[Jun]],RealMarketing[#Headers],0))</f>
        <v>0</v>
      </c>
      <c r="I24" s="63">
        <f>INDEX(PlanejamentoDeMarketing[],MATCH(INDEX(VariaçõesDeMarketing[],ROW()-ROW(VariaçõesDeMarketing[[#Headers],[Jul]]),1),INDEX(PlanejamentoDeMarketing[],,1),0),MATCH(VariaçõesDeMarketing[[#Headers],[Jul]],PlanejamentoDeMarketing[#Headers],0))-INDEX(RealMarketing[],MATCH(INDEX(VariaçõesDeMarketing[],ROW()-ROW(VariaçõesDeMarketing[[#Headers],[Jul]]),1),INDEX(PlanejamentoDeMarketing[],,1),0),MATCH(VariaçõesDeMarketing[[#Headers],[Jul]],RealMarketing[#Headers],0))</f>
        <v>5000</v>
      </c>
      <c r="J24" s="63">
        <f>INDEX(PlanejamentoDeMarketing[],MATCH(INDEX(VariaçõesDeMarketing[],ROW()-ROW(VariaçõesDeMarketing[[#Headers],[Ago]]),1),INDEX(PlanejamentoDeMarketing[],,1),0),MATCH(VariaçõesDeMarketing[[#Headers],[Ago]],PlanejamentoDeMarketing[#Headers],0))-INDEX(RealMarketing[],MATCH(INDEX(VariaçõesDeMarketing[],ROW()-ROW(VariaçõesDeMarketing[[#Headers],[Ago]]),1),INDEX(PlanejamentoDeMarketing[],,1),0),MATCH(VariaçõesDeMarketing[[#Headers],[Ago]],RealMarketing[#Headers],0))</f>
        <v>0</v>
      </c>
      <c r="K24" s="63">
        <f>INDEX(PlanejamentoDeMarketing[],MATCH(INDEX(VariaçõesDeMarketing[],ROW()-ROW(VariaçõesDeMarketing[[#Headers],[Set]]),1),INDEX(PlanejamentoDeMarketing[],,1),0),MATCH(VariaçõesDeMarketing[[#Headers],[Set]],PlanejamentoDeMarketing[#Headers],0))-INDEX(RealMarketing[],MATCH(INDEX(VariaçõesDeMarketing[],ROW()-ROW(VariaçõesDeMarketing[[#Headers],[Set]]),1),INDEX(PlanejamentoDeMarketing[],,1),0),MATCH(VariaçõesDeMarketing[[#Headers],[Set]],RealMarketing[#Headers],0))</f>
        <v>0</v>
      </c>
      <c r="L24" s="63">
        <f>INDEX(PlanejamentoDeMarketing[],MATCH(INDEX(VariaçõesDeMarketing[],ROW()-ROW(VariaçõesDeMarketing[[#Headers],[Out]]),1),INDEX(PlanejamentoDeMarketing[],,1),0),MATCH(VariaçõesDeMarketing[[#Headers],[Out]],PlanejamentoDeMarketing[#Headers],0))-INDEX(RealMarketing[],MATCH(INDEX(VariaçõesDeMarketing[],ROW()-ROW(VariaçõesDeMarketing[[#Headers],[Out]]),1),INDEX(PlanejamentoDeMarketing[],,1),0),MATCH(VariaçõesDeMarketing[[#Headers],[Out]],RealMarketing[#Headers],0))</f>
        <v>5000</v>
      </c>
      <c r="M24" s="63">
        <f>INDEX(PlanejamentoDeMarketing[],MATCH(INDEX(VariaçõesDeMarketing[],ROW()-ROW(VariaçõesDeMarketing[[#Headers],[Nov]]),1),INDEX(PlanejamentoDeMarketing[],,1),0),MATCH(VariaçõesDeMarketing[[#Headers],[Nov]],PlanejamentoDeMarketing[#Headers],0))-INDEX(RealMarketing[],MATCH(INDEX(VariaçõesDeMarketing[],ROW()-ROW(VariaçõesDeMarketing[[#Headers],[Nov]]),1),INDEX(PlanejamentoDeMarketing[],,1),0),MATCH(VariaçõesDeMarketing[[#Headers],[Nov]],RealMarketing[#Headers],0))</f>
        <v>0</v>
      </c>
      <c r="N24" s="63">
        <f>INDEX(PlanejamentoDeMarketing[],MATCH(INDEX(VariaçõesDeMarketing[],ROW()-ROW(VariaçõesDeMarketing[[#Headers],[Dez]]),1),INDEX(PlanejamentoDeMarketing[],,1),0),MATCH(VariaçõesDeMarketing[[#Headers],[Dez]],PlanejamentoDeMarketing[#Headers],0))-INDEX(RealMarketing[],MATCH(INDEX(VariaçõesDeMarketing[],ROW()-ROW(VariaçõesDeMarketing[[#Headers],[Dez]]),1),INDEX(PlanejamentoDeMarketing[],,1),0),MATCH(VariaçõesDeMarketing[[#Headers],[Dez]],RealMarketing[#Headers],0))</f>
        <v>0</v>
      </c>
      <c r="O24" s="63">
        <f>SUM(VariaçõesDeMarketing[[#This Row],[Jan]:[Dez]])</f>
        <v>9700</v>
      </c>
      <c r="P24" s="10"/>
    </row>
    <row r="25" spans="1:16" ht="33.950000000000003" customHeight="1" x14ac:dyDescent="0.3">
      <c r="A25" s="6"/>
      <c r="B25" s="58" t="s">
        <v>24</v>
      </c>
      <c r="C25" s="63">
        <f>INDEX(PlanejamentoDeMarketing[],MATCH(INDEX(VariaçõesDeMarketing[],ROW()-ROW(VariaçõesDeMarketing[[#Headers],[Jan]]),1),INDEX(PlanejamentoDeMarketing[],,1),0),MATCH(VariaçõesDeMarketing[[#Headers],[Jan]],PlanejamentoDeMarketing[#Headers],0))-INDEX(RealMarketing[],MATCH(INDEX(VariaçõesDeMarketing[],ROW()-ROW(VariaçõesDeMarketing[[#Headers],[Jan]]),1),INDEX(PlanejamentoDeMarketing[],,1),0),MATCH(VariaçõesDeMarketing[[#Headers],[Jan]],RealMarketing[#Headers],0))</f>
        <v>100</v>
      </c>
      <c r="D25" s="63">
        <f>INDEX(PlanejamentoDeMarketing[],MATCH(INDEX(VariaçõesDeMarketing[],ROW()-ROW(VariaçõesDeMarketing[[#Headers],[Fev]]),1),INDEX(PlanejamentoDeMarketing[],,1),0),MATCH(VariaçõesDeMarketing[[#Headers],[Fev]],PlanejamentoDeMarketing[#Headers],0))-INDEX(RealMarketing[],MATCH(INDEX(VariaçõesDeMarketing[],ROW()-ROW(VariaçõesDeMarketing[[#Headers],[Fev]]),1),INDEX(PlanejamentoDeMarketing[],,1),0),MATCH(VariaçõesDeMarketing[[#Headers],[Fev]],RealMarketing[#Headers],0))</f>
        <v>-300</v>
      </c>
      <c r="E25" s="63">
        <f>INDEX(PlanejamentoDeMarketing[],MATCH(INDEX(VariaçõesDeMarketing[],ROW()-ROW(VariaçõesDeMarketing[[#Headers],[Mar]]),1),INDEX(PlanejamentoDeMarketing[],,1),0),MATCH(VariaçõesDeMarketing[[#Headers],[Mar]],PlanejamentoDeMarketing[#Headers],0))-INDEX(RealMarketing[],MATCH(INDEX(VariaçõesDeMarketing[],ROW()-ROW(VariaçõesDeMarketing[[#Headers],[Mar]]),1),INDEX(PlanejamentoDeMarketing[],,1),0),MATCH(VariaçõesDeMarketing[[#Headers],[Mar]],RealMarketing[#Headers],0))</f>
        <v>100</v>
      </c>
      <c r="F25" s="63">
        <f>INDEX(PlanejamentoDeMarketing[],MATCH(INDEX(VariaçõesDeMarketing[],ROW()-ROW(VariaçõesDeMarketing[[#Headers],[Abr]]),1),INDEX(PlanejamentoDeMarketing[],,1),0),MATCH(VariaçõesDeMarketing[[#Headers],[Abr]],PlanejamentoDeMarketing[#Headers],0))-INDEX(RealMarketing[],MATCH(INDEX(VariaçõesDeMarketing[],ROW()-ROW(VariaçõesDeMarketing[[#Headers],[Abr]]),1),INDEX(PlanejamentoDeMarketing[],,1),0),MATCH(VariaçõesDeMarketing[[#Headers],[Abr]],RealMarketing[#Headers],0))</f>
        <v>100</v>
      </c>
      <c r="G25" s="63">
        <f>INDEX(PlanejamentoDeMarketing[],MATCH(INDEX(VariaçõesDeMarketing[],ROW()-ROW(VariaçõesDeMarketing[[#Headers],[Mai]]),1),INDEX(PlanejamentoDeMarketing[],,1),0),MATCH(VariaçõesDeMarketing[[#Headers],[Mai]],PlanejamentoDeMarketing[#Headers],0))-INDEX(RealMarketing[],MATCH(INDEX(VariaçõesDeMarketing[],ROW()-ROW(VariaçõesDeMarketing[[#Headers],[Mai]]),1),INDEX(PlanejamentoDeMarketing[],,1),0),MATCH(VariaçõesDeMarketing[[#Headers],[Mai]],RealMarketing[#Headers],0))</f>
        <v>-400</v>
      </c>
      <c r="H25" s="63">
        <f>INDEX(PlanejamentoDeMarketing[],MATCH(INDEX(VariaçõesDeMarketing[],ROW()-ROW(VariaçõesDeMarketing[[#Headers],[Jun]]),1),INDEX(PlanejamentoDeMarketing[],,1),0),MATCH(VariaçõesDeMarketing[[#Headers],[Jun]],PlanejamentoDeMarketing[#Headers],0))-INDEX(RealMarketing[],MATCH(INDEX(VariaçõesDeMarketing[],ROW()-ROW(VariaçõesDeMarketing[[#Headers],[Jun]]),1),INDEX(PlanejamentoDeMarketing[],,1),0),MATCH(VariaçõesDeMarketing[[#Headers],[Jun]],RealMarketing[#Headers],0))</f>
        <v>20</v>
      </c>
      <c r="I25" s="63">
        <f>INDEX(PlanejamentoDeMarketing[],MATCH(INDEX(VariaçõesDeMarketing[],ROW()-ROW(VariaçõesDeMarketing[[#Headers],[Jul]]),1),INDEX(PlanejamentoDeMarketing[],,1),0),MATCH(VariaçõesDeMarketing[[#Headers],[Jul]],PlanejamentoDeMarketing[#Headers],0))-INDEX(RealMarketing[],MATCH(INDEX(VariaçõesDeMarketing[],ROW()-ROW(VariaçõesDeMarketing[[#Headers],[Jul]]),1),INDEX(PlanejamentoDeMarketing[],,1),0),MATCH(VariaçõesDeMarketing[[#Headers],[Jul]],RealMarketing[#Headers],0))</f>
        <v>200</v>
      </c>
      <c r="J25" s="63">
        <f>INDEX(PlanejamentoDeMarketing[],MATCH(INDEX(VariaçõesDeMarketing[],ROW()-ROW(VariaçõesDeMarketing[[#Headers],[Ago]]),1),INDEX(PlanejamentoDeMarketing[],,1),0),MATCH(VariaçõesDeMarketing[[#Headers],[Ago]],PlanejamentoDeMarketing[#Headers],0))-INDEX(RealMarketing[],MATCH(INDEX(VariaçõesDeMarketing[],ROW()-ROW(VariaçõesDeMarketing[[#Headers],[Ago]]),1),INDEX(PlanejamentoDeMarketing[],,1),0),MATCH(VariaçõesDeMarketing[[#Headers],[Ago]],RealMarketing[#Headers],0))</f>
        <v>200</v>
      </c>
      <c r="K25" s="63">
        <f>INDEX(PlanejamentoDeMarketing[],MATCH(INDEX(VariaçõesDeMarketing[],ROW()-ROW(VariaçõesDeMarketing[[#Headers],[Set]]),1),INDEX(PlanejamentoDeMarketing[],,1),0),MATCH(VariaçõesDeMarketing[[#Headers],[Set]],PlanejamentoDeMarketing[#Headers],0))-INDEX(RealMarketing[],MATCH(INDEX(VariaçõesDeMarketing[],ROW()-ROW(VariaçõesDeMarketing[[#Headers],[Set]]),1),INDEX(PlanejamentoDeMarketing[],,1),0),MATCH(VariaçõesDeMarketing[[#Headers],[Set]],RealMarketing[#Headers],0))</f>
        <v>200</v>
      </c>
      <c r="L25" s="63">
        <f>INDEX(PlanejamentoDeMarketing[],MATCH(INDEX(VariaçõesDeMarketing[],ROW()-ROW(VariaçõesDeMarketing[[#Headers],[Out]]),1),INDEX(PlanejamentoDeMarketing[],,1),0),MATCH(VariaçõesDeMarketing[[#Headers],[Out]],PlanejamentoDeMarketing[#Headers],0))-INDEX(RealMarketing[],MATCH(INDEX(VariaçõesDeMarketing[],ROW()-ROW(VariaçõesDeMarketing[[#Headers],[Out]]),1),INDEX(PlanejamentoDeMarketing[],,1),0),MATCH(VariaçõesDeMarketing[[#Headers],[Out]],RealMarketing[#Headers],0))</f>
        <v>200</v>
      </c>
      <c r="M25" s="63">
        <f>INDEX(PlanejamentoDeMarketing[],MATCH(INDEX(VariaçõesDeMarketing[],ROW()-ROW(VariaçõesDeMarketing[[#Headers],[Nov]]),1),INDEX(PlanejamentoDeMarketing[],,1),0),MATCH(VariaçõesDeMarketing[[#Headers],[Nov]],PlanejamentoDeMarketing[#Headers],0))-INDEX(RealMarketing[],MATCH(INDEX(VariaçõesDeMarketing[],ROW()-ROW(VariaçõesDeMarketing[[#Headers],[Nov]]),1),INDEX(PlanejamentoDeMarketing[],,1),0),MATCH(VariaçõesDeMarketing[[#Headers],[Nov]],RealMarketing[#Headers],0))</f>
        <v>200</v>
      </c>
      <c r="N25" s="63">
        <f>INDEX(PlanejamentoDeMarketing[],MATCH(INDEX(VariaçõesDeMarketing[],ROW()-ROW(VariaçõesDeMarketing[[#Headers],[Dez]]),1),INDEX(PlanejamentoDeMarketing[],,1),0),MATCH(VariaçõesDeMarketing[[#Headers],[Dez]],PlanejamentoDeMarketing[#Headers],0))-INDEX(RealMarketing[],MATCH(INDEX(VariaçõesDeMarketing[],ROW()-ROW(VariaçõesDeMarketing[[#Headers],[Dez]]),1),INDEX(PlanejamentoDeMarketing[],,1),0),MATCH(VariaçõesDeMarketing[[#Headers],[Dez]],RealMarketing[#Headers],0))</f>
        <v>200</v>
      </c>
      <c r="O25" s="63">
        <f>SUM(VariaçõesDeMarketing[[#This Row],[Jan]:[Dez]])</f>
        <v>820</v>
      </c>
      <c r="P25" s="10"/>
    </row>
    <row r="26" spans="1:16" ht="33.950000000000003" customHeight="1" x14ac:dyDescent="0.3">
      <c r="A26" s="6"/>
      <c r="B26" s="58" t="s">
        <v>25</v>
      </c>
      <c r="C26" s="63">
        <f>INDEX(PlanejamentoDeMarketing[],MATCH(INDEX(VariaçõesDeMarketing[],ROW()-ROW(VariaçõesDeMarketing[[#Headers],[Jan]]),1),INDEX(PlanejamentoDeMarketing[],,1),0),MATCH(VariaçõesDeMarketing[[#Headers],[Jan]],PlanejamentoDeMarketing[#Headers],0))-INDEX(RealMarketing[],MATCH(INDEX(VariaçõesDeMarketing[],ROW()-ROW(VariaçõesDeMarketing[[#Headers],[Jan]]),1),INDEX(PlanejamentoDeMarketing[],,1),0),MATCH(VariaçõesDeMarketing[[#Headers],[Jan]],RealMarketing[#Headers],0))</f>
        <v>200</v>
      </c>
      <c r="D26" s="63">
        <f>INDEX(PlanejamentoDeMarketing[],MATCH(INDEX(VariaçõesDeMarketing[],ROW()-ROW(VariaçõesDeMarketing[[#Headers],[Fev]]),1),INDEX(PlanejamentoDeMarketing[],,1),0),MATCH(VariaçõesDeMarketing[[#Headers],[Fev]],PlanejamentoDeMarketing[#Headers],0))-INDEX(RealMarketing[],MATCH(INDEX(VariaçõesDeMarketing[],ROW()-ROW(VariaçõesDeMarketing[[#Headers],[Fev]]),1),INDEX(PlanejamentoDeMarketing[],,1),0),MATCH(VariaçõesDeMarketing[[#Headers],[Fev]],RealMarketing[#Headers],0))</f>
        <v>-200</v>
      </c>
      <c r="E26" s="63">
        <f>INDEX(PlanejamentoDeMarketing[],MATCH(INDEX(VariaçõesDeMarketing[],ROW()-ROW(VariaçõesDeMarketing[[#Headers],[Mar]]),1),INDEX(PlanejamentoDeMarketing[],,1),0),MATCH(VariaçõesDeMarketing[[#Headers],[Mar]],PlanejamentoDeMarketing[#Headers],0))-INDEX(RealMarketing[],MATCH(INDEX(VariaçõesDeMarketing[],ROW()-ROW(VariaçõesDeMarketing[[#Headers],[Mar]]),1),INDEX(PlanejamentoDeMarketing[],,1),0),MATCH(VariaçõesDeMarketing[[#Headers],[Mar]],RealMarketing[#Headers],0))</f>
        <v>-200</v>
      </c>
      <c r="F26" s="63">
        <f>INDEX(PlanejamentoDeMarketing[],MATCH(INDEX(VariaçõesDeMarketing[],ROW()-ROW(VariaçõesDeMarketing[[#Headers],[Abr]]),1),INDEX(PlanejamentoDeMarketing[],,1),0),MATCH(VariaçõesDeMarketing[[#Headers],[Abr]],PlanejamentoDeMarketing[#Headers],0))-INDEX(RealMarketing[],MATCH(INDEX(VariaçõesDeMarketing[],ROW()-ROW(VariaçõesDeMarketing[[#Headers],[Abr]]),1),INDEX(PlanejamentoDeMarketing[],,1),0),MATCH(VariaçõesDeMarketing[[#Headers],[Abr]],RealMarketing[#Headers],0))</f>
        <v>300</v>
      </c>
      <c r="G26" s="63">
        <f>INDEX(PlanejamentoDeMarketing[],MATCH(INDEX(VariaçõesDeMarketing[],ROW()-ROW(VariaçõesDeMarketing[[#Headers],[Mai]]),1),INDEX(PlanejamentoDeMarketing[],,1),0),MATCH(VariaçõesDeMarketing[[#Headers],[Mai]],PlanejamentoDeMarketing[#Headers],0))-INDEX(RealMarketing[],MATCH(INDEX(VariaçõesDeMarketing[],ROW()-ROW(VariaçõesDeMarketing[[#Headers],[Mai]]),1),INDEX(PlanejamentoDeMarketing[],,1),0),MATCH(VariaçõesDeMarketing[[#Headers],[Mai]],RealMarketing[#Headers],0))</f>
        <v>500</v>
      </c>
      <c r="H26" s="63">
        <f>INDEX(PlanejamentoDeMarketing[],MATCH(INDEX(VariaçõesDeMarketing[],ROW()-ROW(VariaçõesDeMarketing[[#Headers],[Jun]]),1),INDEX(PlanejamentoDeMarketing[],,1),0),MATCH(VariaçõesDeMarketing[[#Headers],[Jun]],PlanejamentoDeMarketing[#Headers],0))-INDEX(RealMarketing[],MATCH(INDEX(VariaçõesDeMarketing[],ROW()-ROW(VariaçõesDeMarketing[[#Headers],[Jun]]),1),INDEX(PlanejamentoDeMarketing[],,1),0),MATCH(VariaçõesDeMarketing[[#Headers],[Jun]],RealMarketing[#Headers],0))</f>
        <v>-300</v>
      </c>
      <c r="I26" s="63">
        <f>INDEX(PlanejamentoDeMarketing[],MATCH(INDEX(VariaçõesDeMarketing[],ROW()-ROW(VariaçõesDeMarketing[[#Headers],[Jul]]),1),INDEX(PlanejamentoDeMarketing[],,1),0),MATCH(VariaçõesDeMarketing[[#Headers],[Jul]],PlanejamentoDeMarketing[#Headers],0))-INDEX(RealMarketing[],MATCH(INDEX(VariaçõesDeMarketing[],ROW()-ROW(VariaçõesDeMarketing[[#Headers],[Jul]]),1),INDEX(PlanejamentoDeMarketing[],,1),0),MATCH(VariaçõesDeMarketing[[#Headers],[Jul]],RealMarketing[#Headers],0))</f>
        <v>2000</v>
      </c>
      <c r="J26" s="63">
        <f>INDEX(PlanejamentoDeMarketing[],MATCH(INDEX(VariaçõesDeMarketing[],ROW()-ROW(VariaçõesDeMarketing[[#Headers],[Ago]]),1),INDEX(PlanejamentoDeMarketing[],,1),0),MATCH(VariaçõesDeMarketing[[#Headers],[Ago]],PlanejamentoDeMarketing[#Headers],0))-INDEX(RealMarketing[],MATCH(INDEX(VariaçõesDeMarketing[],ROW()-ROW(VariaçõesDeMarketing[[#Headers],[Ago]]),1),INDEX(PlanejamentoDeMarketing[],,1),0),MATCH(VariaçõesDeMarketing[[#Headers],[Ago]],RealMarketing[#Headers],0))</f>
        <v>5000</v>
      </c>
      <c r="K26" s="63">
        <f>INDEX(PlanejamentoDeMarketing[],MATCH(INDEX(VariaçõesDeMarketing[],ROW()-ROW(VariaçõesDeMarketing[[#Headers],[Set]]),1),INDEX(PlanejamentoDeMarketing[],,1),0),MATCH(VariaçõesDeMarketing[[#Headers],[Set]],PlanejamentoDeMarketing[#Headers],0))-INDEX(RealMarketing[],MATCH(INDEX(VariaçõesDeMarketing[],ROW()-ROW(VariaçõesDeMarketing[[#Headers],[Set]]),1),INDEX(PlanejamentoDeMarketing[],,1),0),MATCH(VariaçõesDeMarketing[[#Headers],[Set]],RealMarketing[#Headers],0))</f>
        <v>2000</v>
      </c>
      <c r="L26" s="63">
        <f>INDEX(PlanejamentoDeMarketing[],MATCH(INDEX(VariaçõesDeMarketing[],ROW()-ROW(VariaçõesDeMarketing[[#Headers],[Out]]),1),INDEX(PlanejamentoDeMarketing[],,1),0),MATCH(VariaçõesDeMarketing[[#Headers],[Out]],PlanejamentoDeMarketing[#Headers],0))-INDEX(RealMarketing[],MATCH(INDEX(VariaçõesDeMarketing[],ROW()-ROW(VariaçõesDeMarketing[[#Headers],[Out]]),1),INDEX(PlanejamentoDeMarketing[],,1),0),MATCH(VariaçõesDeMarketing[[#Headers],[Out]],RealMarketing[#Headers],0))</f>
        <v>2000</v>
      </c>
      <c r="M26" s="63">
        <f>INDEX(PlanejamentoDeMarketing[],MATCH(INDEX(VariaçõesDeMarketing[],ROW()-ROW(VariaçõesDeMarketing[[#Headers],[Nov]]),1),INDEX(PlanejamentoDeMarketing[],,1),0),MATCH(VariaçõesDeMarketing[[#Headers],[Nov]],PlanejamentoDeMarketing[#Headers],0))-INDEX(RealMarketing[],MATCH(INDEX(VariaçõesDeMarketing[],ROW()-ROW(VariaçõesDeMarketing[[#Headers],[Nov]]),1),INDEX(PlanejamentoDeMarketing[],,1),0),MATCH(VariaçõesDeMarketing[[#Headers],[Nov]],RealMarketing[#Headers],0))</f>
        <v>2000</v>
      </c>
      <c r="N26" s="63">
        <f>INDEX(PlanejamentoDeMarketing[],MATCH(INDEX(VariaçõesDeMarketing[],ROW()-ROW(VariaçõesDeMarketing[[#Headers],[Dez]]),1),INDEX(PlanejamentoDeMarketing[],,1),0),MATCH(VariaçõesDeMarketing[[#Headers],[Dez]],PlanejamentoDeMarketing[#Headers],0))-INDEX(RealMarketing[],MATCH(INDEX(VariaçõesDeMarketing[],ROW()-ROW(VariaçõesDeMarketing[[#Headers],[Dez]]),1),INDEX(PlanejamentoDeMarketing[],,1),0),MATCH(VariaçõesDeMarketing[[#Headers],[Dez]],RealMarketing[#Headers],0))</f>
        <v>5000</v>
      </c>
      <c r="O26" s="63">
        <f>SUM(VariaçõesDeMarketing[[#This Row],[Jan]:[Dez]])</f>
        <v>18300</v>
      </c>
      <c r="P26" s="10"/>
    </row>
    <row r="27" spans="1:16" ht="33.950000000000003" customHeight="1" x14ac:dyDescent="0.3">
      <c r="A27" s="6"/>
      <c r="B27" s="58" t="s">
        <v>26</v>
      </c>
      <c r="C27" s="63">
        <f>INDEX(PlanejamentoDeMarketing[],MATCH(INDEX(VariaçõesDeMarketing[],ROW()-ROW(VariaçõesDeMarketing[[#Headers],[Jan]]),1),INDEX(PlanejamentoDeMarketing[],,1),0),MATCH(VariaçõesDeMarketing[[#Headers],[Jan]],PlanejamentoDeMarketing[#Headers],0))-INDEX(RealMarketing[],MATCH(INDEX(VariaçõesDeMarketing[],ROW()-ROW(VariaçõesDeMarketing[[#Headers],[Jan]]),1),INDEX(PlanejamentoDeMarketing[],,1),0),MATCH(VariaçõesDeMarketing[[#Headers],[Jan]],RealMarketing[#Headers],0))</f>
        <v>55</v>
      </c>
      <c r="D27" s="63">
        <f>INDEX(PlanejamentoDeMarketing[],MATCH(INDEX(VariaçõesDeMarketing[],ROW()-ROW(VariaçõesDeMarketing[[#Headers],[Fev]]),1),INDEX(PlanejamentoDeMarketing[],,1),0),MATCH(VariaçõesDeMarketing[[#Headers],[Fev]],PlanejamentoDeMarketing[#Headers],0))-INDEX(RealMarketing[],MATCH(INDEX(VariaçõesDeMarketing[],ROW()-ROW(VariaçõesDeMarketing[[#Headers],[Fev]]),1),INDEX(PlanejamentoDeMarketing[],,1),0),MATCH(VariaçõesDeMarketing[[#Headers],[Fev]],RealMarketing[#Headers],0))</f>
        <v>44</v>
      </c>
      <c r="E27" s="63">
        <f>INDEX(PlanejamentoDeMarketing[],MATCH(INDEX(VariaçõesDeMarketing[],ROW()-ROW(VariaçõesDeMarketing[[#Headers],[Mar]]),1),INDEX(PlanejamentoDeMarketing[],,1),0),MATCH(VariaçõesDeMarketing[[#Headers],[Mar]],PlanejamentoDeMarketing[#Headers],0))-INDEX(RealMarketing[],MATCH(INDEX(VariaçõesDeMarketing[],ROW()-ROW(VariaçõesDeMarketing[[#Headers],[Mar]]),1),INDEX(PlanejamentoDeMarketing[],,1),0),MATCH(VariaçõesDeMarketing[[#Headers],[Mar]],RealMarketing[#Headers],0))</f>
        <v>77</v>
      </c>
      <c r="F27" s="63">
        <f>INDEX(PlanejamentoDeMarketing[],MATCH(INDEX(VariaçõesDeMarketing[],ROW()-ROW(VariaçõesDeMarketing[[#Headers],[Abr]]),1),INDEX(PlanejamentoDeMarketing[],,1),0),MATCH(VariaçõesDeMarketing[[#Headers],[Abr]],PlanejamentoDeMarketing[#Headers],0))-INDEX(RealMarketing[],MATCH(INDEX(VariaçõesDeMarketing[],ROW()-ROW(VariaçõesDeMarketing[[#Headers],[Abr]]),1),INDEX(PlanejamentoDeMarketing[],,1),0),MATCH(VariaçõesDeMarketing[[#Headers],[Abr]],RealMarketing[#Headers],0))</f>
        <v>-23</v>
      </c>
      <c r="G27" s="63">
        <f>INDEX(PlanejamentoDeMarketing[],MATCH(INDEX(VariaçõesDeMarketing[],ROW()-ROW(VariaçõesDeMarketing[[#Headers],[Mai]]),1),INDEX(PlanejamentoDeMarketing[],,1),0),MATCH(VariaçõesDeMarketing[[#Headers],[Mai]],PlanejamentoDeMarketing[#Headers],0))-INDEX(RealMarketing[],MATCH(INDEX(VariaçõesDeMarketing[],ROW()-ROW(VariaçõesDeMarketing[[#Headers],[Mai]]),1),INDEX(PlanejamentoDeMarketing[],,1),0),MATCH(VariaçõesDeMarketing[[#Headers],[Mai]],RealMarketing[#Headers],0))</f>
        <v>13</v>
      </c>
      <c r="H27" s="63">
        <f>INDEX(PlanejamentoDeMarketing[],MATCH(INDEX(VariaçõesDeMarketing[],ROW()-ROW(VariaçõesDeMarketing[[#Headers],[Jun]]),1),INDEX(PlanejamentoDeMarketing[],,1),0),MATCH(VariaçõesDeMarketing[[#Headers],[Jun]],PlanejamentoDeMarketing[#Headers],0))-INDEX(RealMarketing[],MATCH(INDEX(VariaçõesDeMarketing[],ROW()-ROW(VariaçõesDeMarketing[[#Headers],[Jun]]),1),INDEX(PlanejamentoDeMarketing[],,1),0),MATCH(VariaçõesDeMarketing[[#Headers],[Jun]],RealMarketing[#Headers],0))</f>
        <v>-45</v>
      </c>
      <c r="I27" s="63">
        <f>INDEX(PlanejamentoDeMarketing[],MATCH(INDEX(VariaçõesDeMarketing[],ROW()-ROW(VariaçõesDeMarketing[[#Headers],[Jul]]),1),INDEX(PlanejamentoDeMarketing[],,1),0),MATCH(VariaçõesDeMarketing[[#Headers],[Jul]],PlanejamentoDeMarketing[#Headers],0))-INDEX(RealMarketing[],MATCH(INDEX(VariaçõesDeMarketing[],ROW()-ROW(VariaçõesDeMarketing[[#Headers],[Jul]]),1),INDEX(PlanejamentoDeMarketing[],,1),0),MATCH(VariaçõesDeMarketing[[#Headers],[Jul]],RealMarketing[#Headers],0))</f>
        <v>200</v>
      </c>
      <c r="J27" s="63">
        <f>INDEX(PlanejamentoDeMarketing[],MATCH(INDEX(VariaçõesDeMarketing[],ROW()-ROW(VariaçõesDeMarketing[[#Headers],[Ago]]),1),INDEX(PlanejamentoDeMarketing[],,1),0),MATCH(VariaçõesDeMarketing[[#Headers],[Ago]],PlanejamentoDeMarketing[#Headers],0))-INDEX(RealMarketing[],MATCH(INDEX(VariaçõesDeMarketing[],ROW()-ROW(VariaçõesDeMarketing[[#Headers],[Ago]]),1),INDEX(PlanejamentoDeMarketing[],,1),0),MATCH(VariaçõesDeMarketing[[#Headers],[Ago]],RealMarketing[#Headers],0))</f>
        <v>200</v>
      </c>
      <c r="K27" s="63">
        <f>INDEX(PlanejamentoDeMarketing[],MATCH(INDEX(VariaçõesDeMarketing[],ROW()-ROW(VariaçõesDeMarketing[[#Headers],[Set]]),1),INDEX(PlanejamentoDeMarketing[],,1),0),MATCH(VariaçõesDeMarketing[[#Headers],[Set]],PlanejamentoDeMarketing[#Headers],0))-INDEX(RealMarketing[],MATCH(INDEX(VariaçõesDeMarketing[],ROW()-ROW(VariaçõesDeMarketing[[#Headers],[Set]]),1),INDEX(PlanejamentoDeMarketing[],,1),0),MATCH(VariaçõesDeMarketing[[#Headers],[Set]],RealMarketing[#Headers],0))</f>
        <v>200</v>
      </c>
      <c r="L27" s="63">
        <f>INDEX(PlanejamentoDeMarketing[],MATCH(INDEX(VariaçõesDeMarketing[],ROW()-ROW(VariaçõesDeMarketing[[#Headers],[Out]]),1),INDEX(PlanejamentoDeMarketing[],,1),0),MATCH(VariaçõesDeMarketing[[#Headers],[Out]],PlanejamentoDeMarketing[#Headers],0))-INDEX(RealMarketing[],MATCH(INDEX(VariaçõesDeMarketing[],ROW()-ROW(VariaçõesDeMarketing[[#Headers],[Out]]),1),INDEX(PlanejamentoDeMarketing[],,1),0),MATCH(VariaçõesDeMarketing[[#Headers],[Out]],RealMarketing[#Headers],0))</f>
        <v>200</v>
      </c>
      <c r="M27" s="63">
        <f>INDEX(PlanejamentoDeMarketing[],MATCH(INDEX(VariaçõesDeMarketing[],ROW()-ROW(VariaçõesDeMarketing[[#Headers],[Nov]]),1),INDEX(PlanejamentoDeMarketing[],,1),0),MATCH(VariaçõesDeMarketing[[#Headers],[Nov]],PlanejamentoDeMarketing[#Headers],0))-INDEX(RealMarketing[],MATCH(INDEX(VariaçõesDeMarketing[],ROW()-ROW(VariaçõesDeMarketing[[#Headers],[Nov]]),1),INDEX(PlanejamentoDeMarketing[],,1),0),MATCH(VariaçõesDeMarketing[[#Headers],[Nov]],RealMarketing[#Headers],0))</f>
        <v>200</v>
      </c>
      <c r="N27" s="63">
        <f>INDEX(PlanejamentoDeMarketing[],MATCH(INDEX(VariaçõesDeMarketing[],ROW()-ROW(VariaçõesDeMarketing[[#Headers],[Dez]]),1),INDEX(PlanejamentoDeMarketing[],,1),0),MATCH(VariaçõesDeMarketing[[#Headers],[Dez]],PlanejamentoDeMarketing[#Headers],0))-INDEX(RealMarketing[],MATCH(INDEX(VariaçõesDeMarketing[],ROW()-ROW(VariaçõesDeMarketing[[#Headers],[Dez]]),1),INDEX(PlanejamentoDeMarketing[],,1),0),MATCH(VariaçõesDeMarketing[[#Headers],[Dez]],RealMarketing[#Headers],0))</f>
        <v>200</v>
      </c>
      <c r="O27" s="63">
        <f>SUM(VariaçõesDeMarketing[[#This Row],[Jan]:[Dez]])</f>
        <v>1321</v>
      </c>
      <c r="P27" s="10"/>
    </row>
    <row r="28" spans="1:16" ht="33.950000000000003" customHeight="1" x14ac:dyDescent="0.3">
      <c r="A28" s="6"/>
      <c r="B28" s="58" t="s">
        <v>10</v>
      </c>
      <c r="C28" s="63">
        <f>SUBTOTAL(109,VariaçõesDeMarketing[Jan])</f>
        <v>555</v>
      </c>
      <c r="D28" s="63">
        <f>SUBTOTAL(109,VariaçõesDeMarketing[Fev])</f>
        <v>-456</v>
      </c>
      <c r="E28" s="63">
        <f>SUBTOTAL(109,VariaçõesDeMarketing[Mar])</f>
        <v>-23</v>
      </c>
      <c r="F28" s="63">
        <f>SUBTOTAL(109,VariaçõesDeMarketing[Abr])</f>
        <v>-123</v>
      </c>
      <c r="G28" s="63">
        <f>SUBTOTAL(109,VariaçõesDeMarketing[Mai])</f>
        <v>113</v>
      </c>
      <c r="H28" s="63">
        <f>SUBTOTAL(109,VariaçõesDeMarketing[Jun])</f>
        <v>-825</v>
      </c>
      <c r="I28" s="63">
        <f>SUBTOTAL(109,VariaçõesDeMarketing[Jul])</f>
        <v>8100</v>
      </c>
      <c r="J28" s="63">
        <f>SUBTOTAL(109,VariaçõesDeMarketing[Ago])</f>
        <v>6100</v>
      </c>
      <c r="K28" s="63">
        <f>SUBTOTAL(109,VariaçõesDeMarketing[Set])</f>
        <v>3100</v>
      </c>
      <c r="L28" s="63">
        <f>SUBTOTAL(109,VariaçõesDeMarketing[Out])</f>
        <v>8100</v>
      </c>
      <c r="M28" s="63">
        <f>SUBTOTAL(109,VariaçõesDeMarketing[Nov])</f>
        <v>3100</v>
      </c>
      <c r="N28" s="63">
        <f>SUBTOTAL(109,VariaçõesDeMarketing[Dez])</f>
        <v>6900</v>
      </c>
      <c r="O28" s="63">
        <f>SUBTOTAL(109,VariaçõesDeMarketing[ANO])</f>
        <v>34641</v>
      </c>
      <c r="P28" s="10"/>
    </row>
    <row r="29" spans="1:16" ht="33.950000000000003" customHeight="1" x14ac:dyDescent="0.3">
      <c r="A29" s="6"/>
      <c r="B29" s="76"/>
      <c r="C29" s="76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10"/>
    </row>
    <row r="30" spans="1:16" ht="33.950000000000003" customHeight="1" x14ac:dyDescent="0.3">
      <c r="A30" s="6"/>
      <c r="B30" s="59" t="s">
        <v>27</v>
      </c>
      <c r="C30" s="43" t="s">
        <v>34</v>
      </c>
      <c r="D30" s="43" t="s">
        <v>36</v>
      </c>
      <c r="E30" s="43" t="s">
        <v>38</v>
      </c>
      <c r="F30" s="43" t="s">
        <v>40</v>
      </c>
      <c r="G30" s="43" t="s">
        <v>42</v>
      </c>
      <c r="H30" s="43" t="s">
        <v>44</v>
      </c>
      <c r="I30" s="43" t="s">
        <v>46</v>
      </c>
      <c r="J30" s="43" t="s">
        <v>48</v>
      </c>
      <c r="K30" s="43" t="s">
        <v>50</v>
      </c>
      <c r="L30" s="43" t="s">
        <v>52</v>
      </c>
      <c r="M30" s="43" t="s">
        <v>54</v>
      </c>
      <c r="N30" s="43" t="s">
        <v>56</v>
      </c>
      <c r="O30" s="43" t="s">
        <v>57</v>
      </c>
      <c r="P30" s="10"/>
    </row>
    <row r="31" spans="1:16" ht="33.950000000000003" customHeight="1" x14ac:dyDescent="0.3">
      <c r="A31" s="6"/>
      <c r="B31" s="58" t="s">
        <v>28</v>
      </c>
      <c r="C31" s="63">
        <f>INDEX(PlanejamentoViagemETreinamento[],MATCH(INDEX(VariaçõesDeViagensETreinamentos[],ROW()-ROW(VariaçõesDeViagensETreinamentos[[#Headers],[Jan]]),1),INDEX(PlanejamentoViagemETreinamento[],,1),0),MATCH(VariaçõesDeViagensETreinamentos[[#Headers],[Jan]],PlanejamentoViagemETreinamento[#Headers],0))-INDEX(RealViagemETreinamento[],MATCH(INDEX(VariaçõesDeViagensETreinamentos[],ROW()-ROW(VariaçõesDeViagensETreinamentos[[#Headers],[Jan]]),1),INDEX(PlanejamentoViagemETreinamento[],,1),0),MATCH(VariaçõesDeViagensETreinamentos[[#Headers],[Jan]],RealViagemETreinamento[#Headers],0))</f>
        <v>400</v>
      </c>
      <c r="D31" s="63">
        <f>INDEX(PlanejamentoViagemETreinamento[],MATCH(INDEX(VariaçõesDeViagensETreinamentos[],ROW()-ROW(VariaçõesDeViagensETreinamentos[[#Headers],[Fev]]),1),INDEX(PlanejamentoViagemETreinamento[],,1),0),MATCH(VariaçõesDeViagensETreinamentos[[#Headers],[Fev]],PlanejamentoViagemETreinamento[#Headers],0))-INDEX(RealViagemETreinamento[],MATCH(INDEX(VariaçõesDeViagensETreinamentos[],ROW()-ROW(VariaçõesDeViagensETreinamentos[[#Headers],[Fev]]),1),INDEX(PlanejamentoViagemETreinamento[],,1),0),MATCH(VariaçõesDeViagensETreinamentos[[#Headers],[Fev]],RealViagemETreinamento[#Headers],0))</f>
        <v>-400</v>
      </c>
      <c r="E31" s="63">
        <f>INDEX(PlanejamentoViagemETreinamento[],MATCH(INDEX(VariaçõesDeViagensETreinamentos[],ROW()-ROW(VariaçõesDeViagensETreinamentos[[#Headers],[Mar]]),1),INDEX(PlanejamentoViagemETreinamento[],,1),0),MATCH(VariaçõesDeViagensETreinamentos[[#Headers],[Mar]],PlanejamentoViagemETreinamento[#Headers],0))-INDEX(RealViagemETreinamento[],MATCH(INDEX(VariaçõesDeViagensETreinamentos[],ROW()-ROW(VariaçõesDeViagensETreinamentos[[#Headers],[Mar]]),1),INDEX(PlanejamentoViagemETreinamento[],,1),0),MATCH(VariaçõesDeViagensETreinamentos[[#Headers],[Mar]],RealViagemETreinamento[#Headers],0))</f>
        <v>600</v>
      </c>
      <c r="F31" s="63">
        <f>INDEX(PlanejamentoViagemETreinamento[],MATCH(INDEX(VariaçõesDeViagensETreinamentos[],ROW()-ROW(VariaçõesDeViagensETreinamentos[[#Headers],[Abr]]),1),INDEX(PlanejamentoViagemETreinamento[],,1),0),MATCH(VariaçõesDeViagensETreinamentos[[#Headers],[Abr]],PlanejamentoViagemETreinamento[#Headers],0))-INDEX(RealViagemETreinamento[],MATCH(INDEX(VariaçõesDeViagensETreinamentos[],ROW()-ROW(VariaçõesDeViagensETreinamentos[[#Headers],[Abr]]),1),INDEX(PlanejamentoViagemETreinamento[],,1),0),MATCH(VariaçõesDeViagensETreinamentos[[#Headers],[Abr]],RealViagemETreinamento[#Headers],0))</f>
        <v>400</v>
      </c>
      <c r="G31" s="63">
        <f>INDEX(PlanejamentoViagemETreinamento[],MATCH(INDEX(VariaçõesDeViagensETreinamentos[],ROW()-ROW(VariaçõesDeViagensETreinamentos[[#Headers],[Mai]]),1),INDEX(PlanejamentoViagemETreinamento[],,1),0),MATCH(VariaçõesDeViagensETreinamentos[[#Headers],[Mai]],PlanejamentoViagemETreinamento[#Headers],0))-INDEX(RealViagemETreinamento[],MATCH(INDEX(VariaçõesDeViagensETreinamentos[],ROW()-ROW(VariaçõesDeViagensETreinamentos[[#Headers],[Mai]]),1),INDEX(PlanejamentoViagemETreinamento[],,1),0),MATCH(VariaçõesDeViagensETreinamentos[[#Headers],[Mai]],RealViagemETreinamento[#Headers],0))</f>
        <v>800</v>
      </c>
      <c r="H31" s="63">
        <f>INDEX(PlanejamentoViagemETreinamento[],MATCH(INDEX(VariaçõesDeViagensETreinamentos[],ROW()-ROW(VariaçõesDeViagensETreinamentos[[#Headers],[Jun]]),1),INDEX(PlanejamentoViagemETreinamento[],,1),0),MATCH(VariaçõesDeViagensETreinamentos[[#Headers],[Jun]],PlanejamentoViagemETreinamento[#Headers],0))-INDEX(RealViagemETreinamento[],MATCH(INDEX(VariaçõesDeViagensETreinamentos[],ROW()-ROW(VariaçõesDeViagensETreinamentos[[#Headers],[Jun]]),1),INDEX(PlanejamentoViagemETreinamento[],,1),0),MATCH(VariaçõesDeViagensETreinamentos[[#Headers],[Jun]],RealViagemETreinamento[#Headers],0))</f>
        <v>-800</v>
      </c>
      <c r="I31" s="63">
        <f>INDEX(PlanejamentoViagemETreinamento[],MATCH(INDEX(VariaçõesDeViagensETreinamentos[],ROW()-ROW(VariaçõesDeViagensETreinamentos[[#Headers],[Jul]]),1),INDEX(PlanejamentoViagemETreinamento[],,1),0),MATCH(VariaçõesDeViagensETreinamentos[[#Headers],[Jul]],PlanejamentoViagemETreinamento[#Headers],0))-INDEX(RealViagemETreinamento[],MATCH(INDEX(VariaçõesDeViagensETreinamentos[],ROW()-ROW(VariaçõesDeViagensETreinamentos[[#Headers],[Jul]]),1),INDEX(PlanejamentoViagemETreinamento[],,1),0),MATCH(VariaçõesDeViagensETreinamentos[[#Headers],[Jul]],RealViagemETreinamento[#Headers],0))</f>
        <v>2000</v>
      </c>
      <c r="J31" s="63">
        <f>INDEX(PlanejamentoViagemETreinamento[],MATCH(INDEX(VariaçõesDeViagensETreinamentos[],ROW()-ROW(VariaçõesDeViagensETreinamentos[[#Headers],[Ago]]),1),INDEX(PlanejamentoViagemETreinamento[],,1),0),MATCH(VariaçõesDeViagensETreinamentos[[#Headers],[Ago]],PlanejamentoViagemETreinamento[#Headers],0))-INDEX(RealViagemETreinamento[],MATCH(INDEX(VariaçõesDeViagensETreinamentos[],ROW()-ROW(VariaçõesDeViagensETreinamentos[[#Headers],[Ago]]),1),INDEX(PlanejamentoViagemETreinamento[],,1),0),MATCH(VariaçõesDeViagensETreinamentos[[#Headers],[Ago]],RealViagemETreinamento[#Headers],0))</f>
        <v>2000</v>
      </c>
      <c r="K31" s="63">
        <f>INDEX(PlanejamentoViagemETreinamento[],MATCH(INDEX(VariaçõesDeViagensETreinamentos[],ROW()-ROW(VariaçõesDeViagensETreinamentos[[#Headers],[Set]]),1),INDEX(PlanejamentoViagemETreinamento[],,1),0),MATCH(VariaçõesDeViagensETreinamentos[[#Headers],[Set]],PlanejamentoViagemETreinamento[#Headers],0))-INDEX(RealViagemETreinamento[],MATCH(INDEX(VariaçõesDeViagensETreinamentos[],ROW()-ROW(VariaçõesDeViagensETreinamentos[[#Headers],[Set]]),1),INDEX(PlanejamentoViagemETreinamento[],,1),0),MATCH(VariaçõesDeViagensETreinamentos[[#Headers],[Set]],RealViagemETreinamento[#Headers],0))</f>
        <v>2000</v>
      </c>
      <c r="L31" s="63">
        <f>INDEX(PlanejamentoViagemETreinamento[],MATCH(INDEX(VariaçõesDeViagensETreinamentos[],ROW()-ROW(VariaçõesDeViagensETreinamentos[[#Headers],[Out]]),1),INDEX(PlanejamentoViagemETreinamento[],,1),0),MATCH(VariaçõesDeViagensETreinamentos[[#Headers],[Out]],PlanejamentoViagemETreinamento[#Headers],0))-INDEX(RealViagemETreinamento[],MATCH(INDEX(VariaçõesDeViagensETreinamentos[],ROW()-ROW(VariaçõesDeViagensETreinamentos[[#Headers],[Out]]),1),INDEX(PlanejamentoViagemETreinamento[],,1),0),MATCH(VariaçõesDeViagensETreinamentos[[#Headers],[Out]],RealViagemETreinamento[#Headers],0))</f>
        <v>2000</v>
      </c>
      <c r="M31" s="63">
        <f>INDEX(PlanejamentoViagemETreinamento[],MATCH(INDEX(VariaçõesDeViagensETreinamentos[],ROW()-ROW(VariaçõesDeViagensETreinamentos[[#Headers],[Nov]]),1),INDEX(PlanejamentoViagemETreinamento[],,1),0),MATCH(VariaçõesDeViagensETreinamentos[[#Headers],[Nov]],PlanejamentoViagemETreinamento[#Headers],0))-INDEX(RealViagemETreinamento[],MATCH(INDEX(VariaçõesDeViagensETreinamentos[],ROW()-ROW(VariaçõesDeViagensETreinamentos[[#Headers],[Nov]]),1),INDEX(PlanejamentoViagemETreinamento[],,1),0),MATCH(VariaçõesDeViagensETreinamentos[[#Headers],[Nov]],RealViagemETreinamento[#Headers],0))</f>
        <v>2000</v>
      </c>
      <c r="N31" s="63">
        <f>INDEX(PlanejamentoViagemETreinamento[],MATCH(INDEX(VariaçõesDeViagensETreinamentos[],ROW()-ROW(VariaçõesDeViagensETreinamentos[[#Headers],[Dez]]),1),INDEX(PlanejamentoViagemETreinamento[],,1),0),MATCH(VariaçõesDeViagensETreinamentos[[#Headers],[Dez]],PlanejamentoViagemETreinamento[#Headers],0))-INDEX(RealViagemETreinamento[],MATCH(INDEX(VariaçõesDeViagensETreinamentos[],ROW()-ROW(VariaçõesDeViagensETreinamentos[[#Headers],[Dez]]),1),INDEX(PlanejamentoViagemETreinamento[],,1),0),MATCH(VariaçõesDeViagensETreinamentos[[#Headers],[Dez]],RealViagemETreinamento[#Headers],0))</f>
        <v>2000</v>
      </c>
      <c r="O31" s="63">
        <f>SUM(VariaçõesDeViagensETreinamentos[[#This Row],[Jan]:[Dez]])</f>
        <v>13000</v>
      </c>
      <c r="P31" s="10"/>
    </row>
    <row r="32" spans="1:16" ht="33.950000000000003" customHeight="1" x14ac:dyDescent="0.3">
      <c r="A32" s="6"/>
      <c r="B32" s="58" t="s">
        <v>29</v>
      </c>
      <c r="C32" s="63">
        <f>INDEX(PlanejamentoViagemETreinamento[],MATCH(INDEX(VariaçõesDeViagensETreinamentos[],ROW()-ROW(VariaçõesDeViagensETreinamentos[[#Headers],[Jan]]),1),INDEX(PlanejamentoViagemETreinamento[],,1),0),MATCH(VariaçõesDeViagensETreinamentos[[#Headers],[Jan]],PlanejamentoViagemETreinamento[#Headers],0))-INDEX(RealViagemETreinamento[],MATCH(INDEX(VariaçõesDeViagensETreinamentos[],ROW()-ROW(VariaçõesDeViagensETreinamentos[[#Headers],[Jan]]),1),INDEX(PlanejamentoViagemETreinamento[],,1),0),MATCH(VariaçõesDeViagensETreinamentos[[#Headers],[Jan]],RealViagemETreinamento[#Headers],0))</f>
        <v>800</v>
      </c>
      <c r="D32" s="63">
        <f>INDEX(PlanejamentoViagemETreinamento[],MATCH(INDEX(VariaçõesDeViagensETreinamentos[],ROW()-ROW(VariaçõesDeViagensETreinamentos[[#Headers],[Fev]]),1),INDEX(PlanejamentoViagemETreinamento[],,1),0),MATCH(VariaçõesDeViagensETreinamentos[[#Headers],[Fev]],PlanejamentoViagemETreinamento[#Headers],0))-INDEX(RealViagemETreinamento[],MATCH(INDEX(VariaçõesDeViagensETreinamentos[],ROW()-ROW(VariaçõesDeViagensETreinamentos[[#Headers],[Fev]]),1),INDEX(PlanejamentoViagemETreinamento[],,1),0),MATCH(VariaçõesDeViagensETreinamentos[[#Headers],[Fev]],RealViagemETreinamento[#Headers],0))</f>
        <v>-200</v>
      </c>
      <c r="E32" s="63">
        <f>INDEX(PlanejamentoViagemETreinamento[],MATCH(INDEX(VariaçõesDeViagensETreinamentos[],ROW()-ROW(VariaçõesDeViagensETreinamentos[[#Headers],[Mar]]),1),INDEX(PlanejamentoViagemETreinamento[],,1),0),MATCH(VariaçõesDeViagensETreinamentos[[#Headers],[Mar]],PlanejamentoViagemETreinamento[#Headers],0))-INDEX(RealViagemETreinamento[],MATCH(INDEX(VariaçõesDeViagensETreinamentos[],ROW()-ROW(VariaçõesDeViagensETreinamentos[[#Headers],[Mar]]),1),INDEX(PlanejamentoViagemETreinamento[],,1),0),MATCH(VariaçõesDeViagensETreinamentos[[#Headers],[Mar]],RealViagemETreinamento[#Headers],0))</f>
        <v>600</v>
      </c>
      <c r="F32" s="63">
        <f>INDEX(PlanejamentoViagemETreinamento[],MATCH(INDEX(VariaçõesDeViagensETreinamentos[],ROW()-ROW(VariaçõesDeViagensETreinamentos[[#Headers],[Abr]]),1),INDEX(PlanejamentoViagemETreinamento[],,1),0),MATCH(VariaçõesDeViagensETreinamentos[[#Headers],[Abr]],PlanejamentoViagemETreinamento[#Headers],0))-INDEX(RealViagemETreinamento[],MATCH(INDEX(VariaçõesDeViagensETreinamentos[],ROW()-ROW(VariaçõesDeViagensETreinamentos[[#Headers],[Abr]]),1),INDEX(PlanejamentoViagemETreinamento[],,1),0),MATCH(VariaçõesDeViagensETreinamentos[[#Headers],[Abr]],RealViagemETreinamento[#Headers],0))</f>
        <v>800</v>
      </c>
      <c r="G32" s="63">
        <f>INDEX(PlanejamentoViagemETreinamento[],MATCH(INDEX(VariaçõesDeViagensETreinamentos[],ROW()-ROW(VariaçõesDeViagensETreinamentos[[#Headers],[Mai]]),1),INDEX(PlanejamentoViagemETreinamento[],,1),0),MATCH(VariaçõesDeViagensETreinamentos[[#Headers],[Mai]],PlanejamentoViagemETreinamento[#Headers],0))-INDEX(RealViagemETreinamento[],MATCH(INDEX(VariaçõesDeViagensETreinamentos[],ROW()-ROW(VariaçõesDeViagensETreinamentos[[#Headers],[Mai]]),1),INDEX(PlanejamentoViagemETreinamento[],,1),0),MATCH(VariaçõesDeViagensETreinamentos[[#Headers],[Mai]],RealViagemETreinamento[#Headers],0))</f>
        <v>1200</v>
      </c>
      <c r="H32" s="63">
        <f>INDEX(PlanejamentoViagemETreinamento[],MATCH(INDEX(VariaçõesDeViagensETreinamentos[],ROW()-ROW(VariaçõesDeViagensETreinamentos[[#Headers],[Jun]]),1),INDEX(PlanejamentoViagemETreinamento[],,1),0),MATCH(VariaçõesDeViagensETreinamentos[[#Headers],[Jun]],PlanejamentoViagemETreinamento[#Headers],0))-INDEX(RealViagemETreinamento[],MATCH(INDEX(VariaçõesDeViagensETreinamentos[],ROW()-ROW(VariaçõesDeViagensETreinamentos[[#Headers],[Jun]]),1),INDEX(PlanejamentoViagemETreinamento[],,1),0),MATCH(VariaçõesDeViagensETreinamentos[[#Headers],[Jun]],RealViagemETreinamento[#Headers],0))</f>
        <v>-1500</v>
      </c>
      <c r="I32" s="63">
        <f>INDEX(PlanejamentoViagemETreinamento[],MATCH(INDEX(VariaçõesDeViagensETreinamentos[],ROW()-ROW(VariaçõesDeViagensETreinamentos[[#Headers],[Jul]]),1),INDEX(PlanejamentoViagemETreinamento[],,1),0),MATCH(VariaçõesDeViagensETreinamentos[[#Headers],[Jul]],PlanejamentoViagemETreinamento[#Headers],0))-INDEX(RealViagemETreinamento[],MATCH(INDEX(VariaçõesDeViagensETreinamentos[],ROW()-ROW(VariaçõesDeViagensETreinamentos[[#Headers],[Jul]]),1),INDEX(PlanejamentoViagemETreinamento[],,1),0),MATCH(VariaçõesDeViagensETreinamentos[[#Headers],[Jul]],RealViagemETreinamento[#Headers],0))</f>
        <v>2000</v>
      </c>
      <c r="J32" s="63">
        <f>INDEX(PlanejamentoViagemETreinamento[],MATCH(INDEX(VariaçõesDeViagensETreinamentos[],ROW()-ROW(VariaçõesDeViagensETreinamentos[[#Headers],[Ago]]),1),INDEX(PlanejamentoViagemETreinamento[],,1),0),MATCH(VariaçõesDeViagensETreinamentos[[#Headers],[Ago]],PlanejamentoViagemETreinamento[#Headers],0))-INDEX(RealViagemETreinamento[],MATCH(INDEX(VariaçõesDeViagensETreinamentos[],ROW()-ROW(VariaçõesDeViagensETreinamentos[[#Headers],[Ago]]),1),INDEX(PlanejamentoViagemETreinamento[],,1),0),MATCH(VariaçõesDeViagensETreinamentos[[#Headers],[Ago]],RealViagemETreinamento[#Headers],0))</f>
        <v>2000</v>
      </c>
      <c r="K32" s="63">
        <f>INDEX(PlanejamentoViagemETreinamento[],MATCH(INDEX(VariaçõesDeViagensETreinamentos[],ROW()-ROW(VariaçõesDeViagensETreinamentos[[#Headers],[Set]]),1),INDEX(PlanejamentoViagemETreinamento[],,1),0),MATCH(VariaçõesDeViagensETreinamentos[[#Headers],[Set]],PlanejamentoViagemETreinamento[#Headers],0))-INDEX(RealViagemETreinamento[],MATCH(INDEX(VariaçõesDeViagensETreinamentos[],ROW()-ROW(VariaçõesDeViagensETreinamentos[[#Headers],[Set]]),1),INDEX(PlanejamentoViagemETreinamento[],,1),0),MATCH(VariaçõesDeViagensETreinamentos[[#Headers],[Set]],RealViagemETreinamento[#Headers],0))</f>
        <v>2000</v>
      </c>
      <c r="L32" s="63">
        <f>INDEX(PlanejamentoViagemETreinamento[],MATCH(INDEX(VariaçõesDeViagensETreinamentos[],ROW()-ROW(VariaçõesDeViagensETreinamentos[[#Headers],[Out]]),1),INDEX(PlanejamentoViagemETreinamento[],,1),0),MATCH(VariaçõesDeViagensETreinamentos[[#Headers],[Out]],PlanejamentoViagemETreinamento[#Headers],0))-INDEX(RealViagemETreinamento[],MATCH(INDEX(VariaçõesDeViagensETreinamentos[],ROW()-ROW(VariaçõesDeViagensETreinamentos[[#Headers],[Out]]),1),INDEX(PlanejamentoViagemETreinamento[],,1),0),MATCH(VariaçõesDeViagensETreinamentos[[#Headers],[Out]],RealViagemETreinamento[#Headers],0))</f>
        <v>2000</v>
      </c>
      <c r="M32" s="63">
        <f>INDEX(PlanejamentoViagemETreinamento[],MATCH(INDEX(VariaçõesDeViagensETreinamentos[],ROW()-ROW(VariaçõesDeViagensETreinamentos[[#Headers],[Nov]]),1),INDEX(PlanejamentoViagemETreinamento[],,1),0),MATCH(VariaçõesDeViagensETreinamentos[[#Headers],[Nov]],PlanejamentoViagemETreinamento[#Headers],0))-INDEX(RealViagemETreinamento[],MATCH(INDEX(VariaçõesDeViagensETreinamentos[],ROW()-ROW(VariaçõesDeViagensETreinamentos[[#Headers],[Nov]]),1),INDEX(PlanejamentoViagemETreinamento[],,1),0),MATCH(VariaçõesDeViagensETreinamentos[[#Headers],[Nov]],RealViagemETreinamento[#Headers],0))</f>
        <v>2000</v>
      </c>
      <c r="N32" s="63">
        <f>INDEX(PlanejamentoViagemETreinamento[],MATCH(INDEX(VariaçõesDeViagensETreinamentos[],ROW()-ROW(VariaçõesDeViagensETreinamentos[[#Headers],[Dez]]),1),INDEX(PlanejamentoViagemETreinamento[],,1),0),MATCH(VariaçõesDeViagensETreinamentos[[#Headers],[Dez]],PlanejamentoViagemETreinamento[#Headers],0))-INDEX(RealViagemETreinamento[],MATCH(INDEX(VariaçõesDeViagensETreinamentos[],ROW()-ROW(VariaçõesDeViagensETreinamentos[[#Headers],[Dez]]),1),INDEX(PlanejamentoViagemETreinamento[],,1),0),MATCH(VariaçõesDeViagensETreinamentos[[#Headers],[Dez]],RealViagemETreinamento[#Headers],0))</f>
        <v>2000</v>
      </c>
      <c r="O32" s="63">
        <f>SUM(VariaçõesDeViagensETreinamentos[[#This Row],[Jan]:[Dez]])</f>
        <v>13700</v>
      </c>
      <c r="P32" s="10"/>
    </row>
    <row r="33" spans="1:16" ht="33.950000000000003" customHeight="1" x14ac:dyDescent="0.3">
      <c r="A33" s="6"/>
      <c r="B33" s="58" t="s">
        <v>10</v>
      </c>
      <c r="C33" s="63">
        <f>SUBTOTAL(109,VariaçõesDeViagensETreinamentos[Jan])</f>
        <v>1200</v>
      </c>
      <c r="D33" s="63">
        <f>SUBTOTAL(109,VariaçõesDeViagensETreinamentos[Fev])</f>
        <v>-600</v>
      </c>
      <c r="E33" s="63">
        <f>SUBTOTAL(109,VariaçõesDeViagensETreinamentos[Mar])</f>
        <v>1200</v>
      </c>
      <c r="F33" s="63">
        <f>SUBTOTAL(109,VariaçõesDeViagensETreinamentos[Abr])</f>
        <v>1200</v>
      </c>
      <c r="G33" s="63">
        <f>SUBTOTAL(109,VariaçõesDeViagensETreinamentos[Mai])</f>
        <v>2000</v>
      </c>
      <c r="H33" s="63">
        <f>SUBTOTAL(109,VariaçõesDeViagensETreinamentos[Jun])</f>
        <v>-2300</v>
      </c>
      <c r="I33" s="63">
        <f>SUBTOTAL(109,VariaçõesDeViagensETreinamentos[Jul])</f>
        <v>4000</v>
      </c>
      <c r="J33" s="63">
        <f>SUBTOTAL(109,VariaçõesDeViagensETreinamentos[Ago])</f>
        <v>4000</v>
      </c>
      <c r="K33" s="63">
        <f>SUBTOTAL(109,VariaçõesDeViagensETreinamentos[Set])</f>
        <v>4000</v>
      </c>
      <c r="L33" s="63">
        <f>SUBTOTAL(109,VariaçõesDeViagensETreinamentos[Out])</f>
        <v>4000</v>
      </c>
      <c r="M33" s="63">
        <f>SUBTOTAL(109,VariaçõesDeViagensETreinamentos[Nov])</f>
        <v>4000</v>
      </c>
      <c r="N33" s="63">
        <f>SUBTOTAL(109,VariaçõesDeViagensETreinamentos[Dez])</f>
        <v>4000</v>
      </c>
      <c r="O33" s="63">
        <f>SUBTOTAL(109,VariaçõesDeViagensETreinamentos[ANO])</f>
        <v>26700</v>
      </c>
      <c r="P33" s="10"/>
    </row>
    <row r="34" spans="1:16" ht="33.950000000000003" customHeight="1" x14ac:dyDescent="0.3">
      <c r="A34" s="6"/>
      <c r="B34" s="75"/>
      <c r="C34" s="75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10"/>
    </row>
    <row r="35" spans="1:16" ht="33.950000000000003" customHeight="1" x14ac:dyDescent="0.3">
      <c r="A35" s="6"/>
      <c r="B35" s="59" t="s">
        <v>65</v>
      </c>
      <c r="C35" s="43" t="s">
        <v>34</v>
      </c>
      <c r="D35" s="43" t="s">
        <v>36</v>
      </c>
      <c r="E35" s="43" t="s">
        <v>38</v>
      </c>
      <c r="F35" s="43" t="s">
        <v>40</v>
      </c>
      <c r="G35" s="43" t="s">
        <v>42</v>
      </c>
      <c r="H35" s="43" t="s">
        <v>44</v>
      </c>
      <c r="I35" s="43" t="s">
        <v>46</v>
      </c>
      <c r="J35" s="43" t="s">
        <v>48</v>
      </c>
      <c r="K35" s="43" t="s">
        <v>50</v>
      </c>
      <c r="L35" s="43" t="s">
        <v>52</v>
      </c>
      <c r="M35" s="43" t="s">
        <v>54</v>
      </c>
      <c r="N35" s="43" t="s">
        <v>56</v>
      </c>
      <c r="O35" s="43" t="s">
        <v>58</v>
      </c>
      <c r="P35" s="10"/>
    </row>
    <row r="36" spans="1:16" ht="33.950000000000003" customHeight="1" x14ac:dyDescent="0.3">
      <c r="A36" s="6"/>
      <c r="B36" s="58" t="s">
        <v>66</v>
      </c>
      <c r="C36" s="70">
        <f>VariaçõesDeViagensETreinamentos[[#Totals],[Jan]]+VariaçõesDeMarketing[[#Totals],[Jan]]+VariaçõesDoEscritório[[#Totals],[Jan]]+VariaçõesDeFuncionários[[#Totals],[Jan]]</f>
        <v>1738</v>
      </c>
      <c r="D36" s="70">
        <f>VariaçõesDeViagensETreinamentos[[#Totals],[Fev]]+VariaçõesDeMarketing[[#Totals],[Fev]]+VariaçõesDoEscritório[[#Totals],[Fev]]+VariaçõesDeFuncionários[[#Totals],[Fev]]</f>
        <v>-984</v>
      </c>
      <c r="E36" s="70">
        <f>VariaçõesDeViagensETreinamentos[[#Totals],[Mar]]+VariaçõesDeMarketing[[#Totals],[Mar]]+VariaçõesDoEscritório[[#Totals],[Mar]]+VariaçõesDeFuncionários[[#Totals],[Mar]]</f>
        <v>1255</v>
      </c>
      <c r="F36" s="70">
        <f>VariaçõesDeViagensETreinamentos[[#Totals],[Abr]]+VariaçõesDeMarketing[[#Totals],[Abr]]+VariaçõesDoEscritório[[#Totals],[Abr]]+VariaçõesDeFuncionários[[#Totals],[Abr]]</f>
        <v>301</v>
      </c>
      <c r="G36" s="70">
        <f>VariaçõesDeViagensETreinamentos[[#Totals],[Mai]]+VariaçõesDeMarketing[[#Totals],[Mai]]+VariaçõesDoEscritório[[#Totals],[Mai]]+VariaçõesDeFuncionários[[#Totals],[Mai]]</f>
        <v>1440</v>
      </c>
      <c r="H36" s="70">
        <f>VariaçõesDeViagensETreinamentos[[#Totals],[Jun]]+VariaçõesDeMarketing[[#Totals],[Jun]]+VariaçõesDoEscritório[[#Totals],[Jun]]+VariaçõesDeFuncionários[[#Totals],[Jun]]</f>
        <v>-3744</v>
      </c>
      <c r="I36" s="70">
        <f>VariaçõesDeViagensETreinamentos[[#Totals],[Jul]]+VariaçõesDeMarketing[[#Totals],[Jul]]+VariaçõesDoEscritório[[#Totals],[Jul]]+VariaçõesDeFuncionários[[#Totals],[Jul]]</f>
        <v>134695</v>
      </c>
      <c r="J36" s="70">
        <f>VariaçõesDeViagensETreinamentos[[#Totals],[Ago]]+VariaçõesDeMarketing[[#Totals],[Ago]]+VariaçõesDoEscritório[[#Totals],[Ago]]+VariaçõesDeFuncionários[[#Totals],[Ago]]</f>
        <v>138918</v>
      </c>
      <c r="K36" s="70">
        <f>VariaçõesDeViagensETreinamentos[[#Totals],[Set]]+VariaçõesDeMarketing[[#Totals],[Set]]+VariaçõesDoEscritório[[#Totals],[Set]]+VariaçõesDeFuncionários[[#Totals],[Set]]</f>
        <v>135918</v>
      </c>
      <c r="L36" s="70">
        <f>VariaçõesDeViagensETreinamentos[[#Totals],[Out]]+VariaçõesDeMarketing[[#Totals],[Out]]+VariaçõesDoEscritório[[#Totals],[Out]]+VariaçõesDeFuncionários[[#Totals],[Out]]</f>
        <v>140918</v>
      </c>
      <c r="M36" s="70">
        <f>VariaçõesDeViagensETreinamentos[[#Totals],[Nov]]+VariaçõesDeMarketing[[#Totals],[Nov]]+VariaçõesDoEscritório[[#Totals],[Nov]]+VariaçõesDeFuncionários[[#Totals],[Nov]]</f>
        <v>136218</v>
      </c>
      <c r="N36" s="70">
        <f>VariaçõesDeViagensETreinamentos[[#Totals],[Dez]]+VariaçõesDeMarketing[[#Totals],[Dez]]+VariaçõesDoEscritório[[#Totals],[Dez]]+VariaçõesDeFuncionários[[#Totals],[Dez]]</f>
        <v>140018</v>
      </c>
      <c r="O36" s="70">
        <f>VariaçõesDeViagensETreinamentos[[#Totals],[ANO]]+VariaçõesDeMarketing[[#Totals],[ANO]]+VariaçõesDoEscritório[[#Totals],[ANO]]+VariaçõesDeFuncionários[[#Totals],[ANO]]</f>
        <v>826691</v>
      </c>
      <c r="P36" s="10"/>
    </row>
    <row r="37" spans="1:16" ht="33.950000000000003" customHeight="1" x14ac:dyDescent="0.3">
      <c r="A37" s="6"/>
      <c r="B37" s="58" t="s">
        <v>67</v>
      </c>
      <c r="C37" s="70">
        <f>SUM($C$36:C36)</f>
        <v>1738</v>
      </c>
      <c r="D37" s="70">
        <f>SUM($C$36:D36)</f>
        <v>754</v>
      </c>
      <c r="E37" s="70">
        <f>SUM($C$36:E36)</f>
        <v>2009</v>
      </c>
      <c r="F37" s="70">
        <f>SUM($C$36:F36)</f>
        <v>2310</v>
      </c>
      <c r="G37" s="70">
        <f>SUM($C$36:G36)</f>
        <v>3750</v>
      </c>
      <c r="H37" s="70">
        <f>SUM($C$36:H36)</f>
        <v>6</v>
      </c>
      <c r="I37" s="70">
        <f>SUM($C$36:I36)</f>
        <v>134701</v>
      </c>
      <c r="J37" s="70">
        <f>SUM($C$36:J36)</f>
        <v>273619</v>
      </c>
      <c r="K37" s="70">
        <f>SUM($C$36:K36)</f>
        <v>409537</v>
      </c>
      <c r="L37" s="70">
        <f>SUM($C$36:L36)</f>
        <v>550455</v>
      </c>
      <c r="M37" s="70">
        <f>SUM($C$36:M36)</f>
        <v>686673</v>
      </c>
      <c r="N37" s="70">
        <f>SUM($C$36:N36)</f>
        <v>826691</v>
      </c>
      <c r="O37" s="70"/>
      <c r="P37" s="10"/>
    </row>
  </sheetData>
  <mergeCells count="5">
    <mergeCell ref="B34:C34"/>
    <mergeCell ref="B29:C29"/>
    <mergeCell ref="B20:C20"/>
    <mergeCell ref="B9:C9"/>
    <mergeCell ref="B1:O3"/>
  </mergeCells>
  <pageMargins left="0.7" right="0.7" top="0.75" bottom="0.75" header="0.3" footer="0.3"/>
  <pageSetup paperSize="9" fitToHeight="0" orientation="portrait" r:id="rId1"/>
  <ignoredErrors>
    <ignoredError sqref="C36:C37 D36:N37" calculatedColumn="1"/>
  </ignoredErrors>
  <drawing r:id="rId2"/>
  <tableParts count="5">
    <tablePart r:id="rId3"/>
    <tablePart r:id="rId4"/>
    <tablePart r:id="rId5"/>
    <tablePart r:id="rId6"/>
    <tablePart r:id="rId7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theme="8"/>
    <pageSetUpPr autoPageBreaks="0"/>
  </sheetPr>
  <dimension ref="A1:G33"/>
  <sheetViews>
    <sheetView showGridLines="0" zoomScaleNormal="100" workbookViewId="0"/>
  </sheetViews>
  <sheetFormatPr defaultColWidth="8.85546875" defaultRowHeight="21.75" x14ac:dyDescent="0.45"/>
  <cols>
    <col min="1" max="1" width="2.7109375" style="33" customWidth="1"/>
    <col min="2" max="2" width="40.85546875" style="23" customWidth="1"/>
    <col min="3" max="6" width="50.5703125" style="23" customWidth="1"/>
    <col min="7" max="7" width="2.7109375" style="20" customWidth="1"/>
    <col min="8" max="16384" width="8.85546875" style="23"/>
  </cols>
  <sheetData>
    <row r="1" spans="1:7" s="20" customFormat="1" ht="24" customHeight="1" x14ac:dyDescent="0.3">
      <c r="A1" s="1"/>
      <c r="B1" s="72"/>
      <c r="C1" s="72"/>
      <c r="D1" s="72"/>
      <c r="E1" s="72"/>
      <c r="F1" s="72"/>
      <c r="G1" s="32"/>
    </row>
    <row r="2" spans="1:7" s="20" customFormat="1" ht="45" customHeight="1" x14ac:dyDescent="0.3">
      <c r="A2" s="5"/>
      <c r="B2" s="72"/>
      <c r="C2" s="72"/>
      <c r="D2" s="72"/>
      <c r="E2" s="72"/>
      <c r="F2" s="72"/>
      <c r="G2" s="32"/>
    </row>
    <row r="3" spans="1:7" s="20" customFormat="1" ht="79.150000000000006" customHeight="1" x14ac:dyDescent="0.3">
      <c r="A3" s="5"/>
      <c r="B3" s="72"/>
      <c r="C3" s="72"/>
      <c r="D3" s="72"/>
      <c r="E3" s="72"/>
      <c r="F3" s="72"/>
      <c r="G3" s="32"/>
    </row>
    <row r="4" spans="1:7" ht="50.1" customHeight="1" x14ac:dyDescent="0.45">
      <c r="A4" s="11"/>
      <c r="B4" s="59" t="s">
        <v>68</v>
      </c>
      <c r="C4" s="35" t="s">
        <v>6</v>
      </c>
      <c r="D4" s="48" t="s">
        <v>59</v>
      </c>
      <c r="E4" s="48" t="s">
        <v>64</v>
      </c>
      <c r="F4" s="48" t="s">
        <v>69</v>
      </c>
      <c r="G4" s="28"/>
    </row>
    <row r="5" spans="1:7" ht="42" customHeight="1" x14ac:dyDescent="0.3">
      <c r="A5" s="12"/>
      <c r="B5" s="62" t="s">
        <v>7</v>
      </c>
      <c r="C5" s="63">
        <f>PlanejamentoDeFuncionários[[#Totals],[ANO]]</f>
        <v>1355090</v>
      </c>
      <c r="D5" s="63">
        <f>RealFuncionários[[#Totals],[ANO]]</f>
        <v>659130</v>
      </c>
      <c r="E5" s="63">
        <f>C5-D5</f>
        <v>695960</v>
      </c>
      <c r="F5" s="46">
        <f>E5/C5</f>
        <v>0.5135895032802249</v>
      </c>
    </row>
    <row r="6" spans="1:7" ht="42" customHeight="1" x14ac:dyDescent="0.45">
      <c r="A6" s="11"/>
      <c r="B6" s="62" t="str">
        <f>'DESPESAS PLANEJADAS'!B10</f>
        <v>CUSTOS DO ESCRITÓRIO</v>
      </c>
      <c r="C6" s="63">
        <f>PlanejamentoDoEscritório[[#Totals],[ANO]]</f>
        <v>138740</v>
      </c>
      <c r="D6" s="63">
        <f>RealEscritório[[#Totals],[ANO]]</f>
        <v>69350</v>
      </c>
      <c r="E6" s="63">
        <f>C6-D6</f>
        <v>69390</v>
      </c>
      <c r="F6" s="46">
        <f>E6/C6</f>
        <v>0.50014415453366012</v>
      </c>
    </row>
    <row r="7" spans="1:7" ht="42" customHeight="1" x14ac:dyDescent="0.45">
      <c r="A7" s="11"/>
      <c r="B7" s="62" t="str">
        <f>'DESPESAS PLANEJADAS'!B21</f>
        <v>CUSTOS DE MARKETING</v>
      </c>
      <c r="C7" s="63">
        <f>PlanejamentoDeMarketing[[#Totals],[ANO]]</f>
        <v>67800</v>
      </c>
      <c r="D7" s="63">
        <f>RealMarketing[[#Totals],[ANO]]</f>
        <v>33159</v>
      </c>
      <c r="E7" s="63">
        <f>C7-D7</f>
        <v>34641</v>
      </c>
      <c r="F7" s="46">
        <f>E7/C7</f>
        <v>0.51092920353982296</v>
      </c>
    </row>
    <row r="8" spans="1:7" ht="42" customHeight="1" x14ac:dyDescent="0.45">
      <c r="A8" s="11"/>
      <c r="B8" s="62" t="str">
        <f>'DESPESAS PLANEJADAS'!B30</f>
        <v>TREINAMENTO/VIAGEM</v>
      </c>
      <c r="C8" s="63">
        <f>PlanejamentoViagemETreinamento[[#Totals],[ANO]]</f>
        <v>48000</v>
      </c>
      <c r="D8" s="63">
        <f>RealViagemETreinamento[[#Totals],[ANO]]</f>
        <v>21300</v>
      </c>
      <c r="E8" s="63">
        <f>C8-D8</f>
        <v>26700</v>
      </c>
      <c r="F8" s="46">
        <f>E8/C8</f>
        <v>0.55625000000000002</v>
      </c>
    </row>
    <row r="9" spans="1:7" ht="42" customHeight="1" x14ac:dyDescent="0.45">
      <c r="A9" s="11"/>
      <c r="B9" s="62" t="str">
        <f>'DESPESAS PLANEJADAS'!B35</f>
        <v>TOTAL DE DESPESAS PLANEJADAS</v>
      </c>
      <c r="C9" s="71">
        <f>'DESPESAS PLANEJADAS'!O36</f>
        <v>1609630</v>
      </c>
      <c r="D9" s="71">
        <f>'DESPESAS REAIS'!O36</f>
        <v>782939</v>
      </c>
      <c r="E9" s="71">
        <f>C9-D9</f>
        <v>826691</v>
      </c>
      <c r="F9" s="47">
        <f>E9/C9</f>
        <v>0.51359070096854553</v>
      </c>
    </row>
    <row r="10" spans="1:7" x14ac:dyDescent="0.45">
      <c r="A10" s="11"/>
      <c r="B10" s="13"/>
      <c r="C10" s="14"/>
      <c r="D10" s="14"/>
      <c r="E10" s="14"/>
      <c r="F10" s="9"/>
    </row>
    <row r="11" spans="1:7" ht="300" customHeight="1" x14ac:dyDescent="0.45">
      <c r="A11" s="11"/>
      <c r="B11" s="78"/>
      <c r="C11" s="79"/>
      <c r="D11" s="78"/>
      <c r="E11" s="78"/>
      <c r="F11" s="78"/>
      <c r="G11"/>
    </row>
    <row r="12" spans="1:7" ht="18.75" customHeight="1" x14ac:dyDescent="0.45">
      <c r="A12" s="11"/>
      <c r="B12" s="15"/>
      <c r="C12" s="10"/>
      <c r="D12" s="10"/>
      <c r="E12" s="10"/>
      <c r="F12" s="10"/>
    </row>
    <row r="13" spans="1:7" x14ac:dyDescent="0.45">
      <c r="A13" s="11"/>
      <c r="B13" s="80"/>
      <c r="C13" s="77"/>
      <c r="D13" s="77"/>
      <c r="E13" s="77"/>
      <c r="F13" s="77"/>
    </row>
    <row r="14" spans="1:7" x14ac:dyDescent="0.45">
      <c r="A14" s="11"/>
      <c r="B14" s="80"/>
      <c r="C14" s="77"/>
      <c r="D14" s="77"/>
      <c r="E14" s="77"/>
      <c r="F14" s="77"/>
    </row>
    <row r="15" spans="1:7" x14ac:dyDescent="0.45">
      <c r="A15" s="11"/>
      <c r="B15" s="80"/>
      <c r="C15" s="77"/>
      <c r="D15" s="77"/>
      <c r="E15" s="77"/>
      <c r="F15" s="77"/>
    </row>
    <row r="16" spans="1:7" x14ac:dyDescent="0.45">
      <c r="A16" s="11"/>
      <c r="B16" s="80"/>
      <c r="C16" s="77"/>
      <c r="D16" s="77"/>
      <c r="E16" s="77"/>
      <c r="F16" s="77"/>
    </row>
    <row r="17" spans="1:6" x14ac:dyDescent="0.45">
      <c r="A17" s="11"/>
      <c r="B17" s="80"/>
      <c r="C17" s="77"/>
      <c r="D17" s="77"/>
      <c r="E17" s="77"/>
      <c r="F17" s="77"/>
    </row>
    <row r="18" spans="1:6" x14ac:dyDescent="0.45">
      <c r="A18" s="11"/>
      <c r="B18" s="77"/>
      <c r="C18" s="77"/>
      <c r="D18" s="77"/>
      <c r="E18" s="77"/>
      <c r="F18" s="77"/>
    </row>
    <row r="19" spans="1:6" x14ac:dyDescent="0.45">
      <c r="A19" s="11"/>
      <c r="B19" s="77"/>
      <c r="C19" s="77"/>
      <c r="D19" s="77"/>
      <c r="E19" s="77"/>
      <c r="F19" s="77"/>
    </row>
    <row r="20" spans="1:6" x14ac:dyDescent="0.45">
      <c r="A20" s="11"/>
      <c r="B20" s="77"/>
      <c r="C20" s="77"/>
      <c r="D20" s="77"/>
      <c r="E20" s="77"/>
      <c r="F20" s="77"/>
    </row>
    <row r="21" spans="1:6" x14ac:dyDescent="0.45">
      <c r="A21" s="11"/>
      <c r="B21" s="80"/>
      <c r="C21" s="77"/>
      <c r="D21" s="77"/>
      <c r="E21" s="77"/>
      <c r="F21" s="77"/>
    </row>
    <row r="22" spans="1:6" x14ac:dyDescent="0.45">
      <c r="A22" s="11"/>
      <c r="B22" s="80"/>
      <c r="C22" s="77"/>
      <c r="D22" s="77"/>
      <c r="E22" s="77"/>
      <c r="F22" s="77"/>
    </row>
    <row r="23" spans="1:6" x14ac:dyDescent="0.45">
      <c r="A23" s="11"/>
      <c r="B23" s="80"/>
      <c r="C23" s="77"/>
      <c r="D23" s="77"/>
      <c r="E23" s="77"/>
      <c r="F23" s="77"/>
    </row>
    <row r="24" spans="1:6" x14ac:dyDescent="0.45">
      <c r="A24" s="11"/>
      <c r="B24" s="80"/>
      <c r="C24" s="77"/>
      <c r="D24" s="77"/>
      <c r="E24" s="77"/>
      <c r="F24" s="77"/>
    </row>
    <row r="25" spans="1:6" x14ac:dyDescent="0.45">
      <c r="A25" s="11"/>
      <c r="B25" s="80"/>
      <c r="C25" s="77"/>
      <c r="D25" s="77"/>
      <c r="E25" s="77"/>
      <c r="F25" s="77"/>
    </row>
    <row r="26" spans="1:6" x14ac:dyDescent="0.45">
      <c r="A26" s="11"/>
      <c r="B26" s="80"/>
      <c r="C26" s="77"/>
      <c r="D26" s="77"/>
      <c r="E26" s="77"/>
      <c r="F26" s="77"/>
    </row>
    <row r="27" spans="1:6" x14ac:dyDescent="0.45">
      <c r="A27" s="11"/>
      <c r="B27" s="77"/>
      <c r="C27" s="77"/>
      <c r="D27" s="77"/>
      <c r="E27" s="77"/>
      <c r="F27" s="77"/>
    </row>
    <row r="28" spans="1:6" x14ac:dyDescent="0.45">
      <c r="A28" s="11"/>
      <c r="B28" s="77"/>
      <c r="C28" s="77"/>
      <c r="D28" s="77"/>
      <c r="E28" s="77"/>
      <c r="F28" s="77"/>
    </row>
    <row r="29" spans="1:6" x14ac:dyDescent="0.45">
      <c r="A29" s="11"/>
      <c r="B29" s="77"/>
      <c r="C29" s="77"/>
      <c r="D29" s="77"/>
      <c r="E29" s="77"/>
      <c r="F29" s="77"/>
    </row>
    <row r="30" spans="1:6" x14ac:dyDescent="0.45">
      <c r="A30" s="11"/>
      <c r="B30" s="80"/>
      <c r="C30" s="77"/>
      <c r="D30" s="77"/>
      <c r="E30" s="77"/>
      <c r="F30" s="77"/>
    </row>
    <row r="31" spans="1:6" x14ac:dyDescent="0.45">
      <c r="A31" s="11"/>
      <c r="B31" s="80"/>
      <c r="C31" s="77"/>
      <c r="D31" s="77"/>
      <c r="E31" s="77"/>
      <c r="F31" s="77"/>
    </row>
    <row r="32" spans="1:6" x14ac:dyDescent="0.45">
      <c r="A32" s="11"/>
      <c r="B32" s="77"/>
      <c r="C32" s="77"/>
      <c r="D32" s="77"/>
      <c r="E32" s="77"/>
      <c r="F32" s="77"/>
    </row>
    <row r="33" spans="1:6" x14ac:dyDescent="0.45">
      <c r="A33" s="11"/>
      <c r="B33" s="77"/>
      <c r="C33" s="77"/>
      <c r="D33" s="77"/>
      <c r="E33" s="77"/>
      <c r="F33" s="77"/>
    </row>
  </sheetData>
  <mergeCells count="4">
    <mergeCell ref="D11:F11"/>
    <mergeCell ref="B11:C11"/>
    <mergeCell ref="B13:F33"/>
    <mergeCell ref="B1:F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1c2eb7a32e66fb6e4260f3771546a5e2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04e1f6479c48b08974ba73b5ca973489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C8B86D0-5DD4-4F4D-BBBE-51C12AD0A3F7}">
  <ds:schemaRefs>
    <ds:schemaRef ds:uri="http://schemas.microsoft.com/office/2006/metadata/properties"/>
    <ds:schemaRef ds:uri="16c05727-aa75-4e4a-9b5f-8a80a1165891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71af3243-3dd4-4a8d-8c0d-dd76da1f02a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EEE03F5-FA44-4AFE-89CC-FF4C0CAA021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8234F2-218F-449F-8B97-AB9FD40E7B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INÍCIO</vt:lpstr>
      <vt:lpstr>DESPESAS PLANEJADAS</vt:lpstr>
      <vt:lpstr>DESPESAS REAIS</vt:lpstr>
      <vt:lpstr>VARIAÇÕES DE DESPESAS</vt:lpstr>
      <vt:lpstr>ANÁLISE DE DESPESAS</vt:lpstr>
      <vt:lpstr>título_da_planilha</vt:lpstr>
      <vt:lpstr>'DESPESAS PLANEJADAS'!Titulos_de_impressao</vt:lpstr>
      <vt:lpstr>'DESPESAS REAIS'!Titulos_de_impressao</vt:lpstr>
      <vt:lpstr>'VARIAÇÕES DE DESPESAS'!Titulos_de_impressao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2019-03-28T00:57:27Z</dcterms:created>
  <dcterms:modified xsi:type="dcterms:W3CDTF">2019-10-10T11:18:09Z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