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01\"/>
    </mc:Choice>
  </mc:AlternateContent>
  <xr:revisionPtr revIDLastSave="0" documentId="8_{FBF24258-32A1-41E1-BAD6-6F4F743426E1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INÍCIO" sheetId="2" r:id="rId1"/>
    <sheet name="ORÇAMENTO PESSOAL" sheetId="1" r:id="rId2"/>
  </sheets>
  <definedNames>
    <definedName name="ÁreaDeImpressão_DEFINIR">OFFSET('ORÇAMENTO PESSOAL'!$C$2,,,MATCH(REPT("z",255),'ORÇAMENTO PESSOAL'!$C:$C),ÚltCol)</definedName>
    <definedName name="ÚltCol">COUNTA('ORÇAMENTO PESSOAL'!$4:$4)+1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98" i="1"/>
  <c r="P99" i="1"/>
  <c r="P100" i="1"/>
  <c r="P101" i="1"/>
  <c r="P103" i="1" s="1"/>
  <c r="P102" i="1"/>
  <c r="P90" i="1"/>
  <c r="P91" i="1"/>
  <c r="P95" i="1" s="1"/>
  <c r="P92" i="1"/>
  <c r="P93" i="1"/>
  <c r="P94" i="1"/>
  <c r="P82" i="1"/>
  <c r="P83" i="1"/>
  <c r="P84" i="1"/>
  <c r="P85" i="1"/>
  <c r="P87" i="1" s="1"/>
  <c r="P86" i="1"/>
  <c r="P72" i="1"/>
  <c r="P73" i="1"/>
  <c r="P79" i="1" s="1"/>
  <c r="P74" i="1"/>
  <c r="P75" i="1"/>
  <c r="P76" i="1"/>
  <c r="P77" i="1"/>
  <c r="P78" i="1"/>
  <c r="P65" i="1"/>
  <c r="P66" i="1"/>
  <c r="P69" i="1" s="1"/>
  <c r="P67" i="1"/>
  <c r="P68" i="1"/>
  <c r="P56" i="1"/>
  <c r="P62" i="1" s="1"/>
  <c r="P57" i="1"/>
  <c r="P58" i="1"/>
  <c r="P59" i="1"/>
  <c r="P60" i="1"/>
  <c r="P61" i="1"/>
  <c r="P46" i="1"/>
  <c r="P47" i="1"/>
  <c r="P53" i="1" s="1"/>
  <c r="P48" i="1"/>
  <c r="P49" i="1"/>
  <c r="P50" i="1"/>
  <c r="P51" i="1"/>
  <c r="P52" i="1"/>
  <c r="P39" i="1"/>
  <c r="P40" i="1"/>
  <c r="P43" i="1" s="1"/>
  <c r="P41" i="1"/>
  <c r="P42" i="1"/>
  <c r="P30" i="1"/>
  <c r="P36" i="1" s="1"/>
  <c r="P31" i="1"/>
  <c r="P32" i="1"/>
  <c r="P33" i="1"/>
  <c r="P34" i="1"/>
  <c r="P35" i="1"/>
  <c r="P21" i="1"/>
  <c r="P22" i="1"/>
  <c r="P27" i="1" s="1"/>
  <c r="P23" i="1"/>
  <c r="P24" i="1"/>
  <c r="P25" i="1"/>
  <c r="P26" i="1"/>
  <c r="P13" i="1"/>
  <c r="P18" i="1" s="1"/>
  <c r="P14" i="1"/>
  <c r="P15" i="1"/>
  <c r="P16" i="1"/>
  <c r="P17" i="1"/>
  <c r="E103" i="1"/>
  <c r="E95" i="1"/>
  <c r="E87" i="1"/>
  <c r="E79" i="1"/>
  <c r="E69" i="1"/>
  <c r="E62" i="1"/>
  <c r="E53" i="1"/>
  <c r="E43" i="1"/>
  <c r="E36" i="1"/>
  <c r="E27" i="1"/>
  <c r="E18" i="1"/>
  <c r="E106" i="1"/>
  <c r="E107" i="1" s="1"/>
  <c r="E9" i="1"/>
  <c r="F9" i="1"/>
  <c r="F103" i="1"/>
  <c r="F106" i="1" s="1"/>
  <c r="F107" i="1" s="1"/>
  <c r="F95" i="1"/>
  <c r="F87" i="1"/>
  <c r="F79" i="1"/>
  <c r="F69" i="1"/>
  <c r="F62" i="1"/>
  <c r="F53" i="1"/>
  <c r="F43" i="1"/>
  <c r="F36" i="1"/>
  <c r="F27" i="1"/>
  <c r="F18" i="1"/>
  <c r="G9" i="1"/>
  <c r="G103" i="1"/>
  <c r="G106" i="1" s="1"/>
  <c r="G107" i="1" s="1"/>
  <c r="G95" i="1"/>
  <c r="G87" i="1"/>
  <c r="G79" i="1"/>
  <c r="G69" i="1"/>
  <c r="G62" i="1"/>
  <c r="G53" i="1"/>
  <c r="G43" i="1"/>
  <c r="G36" i="1"/>
  <c r="G27" i="1"/>
  <c r="G18" i="1"/>
  <c r="H9" i="1"/>
  <c r="H103" i="1"/>
  <c r="H106" i="1" s="1"/>
  <c r="H107" i="1" s="1"/>
  <c r="H95" i="1"/>
  <c r="H87" i="1"/>
  <c r="H79" i="1"/>
  <c r="H69" i="1"/>
  <c r="H62" i="1"/>
  <c r="H53" i="1"/>
  <c r="H43" i="1"/>
  <c r="H36" i="1"/>
  <c r="H27" i="1"/>
  <c r="H18" i="1"/>
  <c r="I9" i="1"/>
  <c r="I103" i="1"/>
  <c r="I95" i="1"/>
  <c r="I87" i="1"/>
  <c r="I106" i="1" s="1"/>
  <c r="I107" i="1" s="1"/>
  <c r="I79" i="1"/>
  <c r="I69" i="1"/>
  <c r="I62" i="1"/>
  <c r="I53" i="1"/>
  <c r="I43" i="1"/>
  <c r="I36" i="1"/>
  <c r="I27" i="1"/>
  <c r="I18" i="1"/>
  <c r="J9" i="1"/>
  <c r="J103" i="1"/>
  <c r="J106" i="1" s="1"/>
  <c r="J107" i="1" s="1"/>
  <c r="J95" i="1"/>
  <c r="J87" i="1"/>
  <c r="J79" i="1"/>
  <c r="J69" i="1"/>
  <c r="J62" i="1"/>
  <c r="J53" i="1"/>
  <c r="J43" i="1"/>
  <c r="J36" i="1"/>
  <c r="J27" i="1"/>
  <c r="J18" i="1"/>
  <c r="K9" i="1"/>
  <c r="K103" i="1"/>
  <c r="K95" i="1"/>
  <c r="K87" i="1"/>
  <c r="K106" i="1" s="1"/>
  <c r="K107" i="1" s="1"/>
  <c r="K79" i="1"/>
  <c r="K69" i="1"/>
  <c r="K62" i="1"/>
  <c r="K53" i="1"/>
  <c r="K43" i="1"/>
  <c r="K36" i="1"/>
  <c r="K27" i="1"/>
  <c r="K18" i="1"/>
  <c r="L9" i="1"/>
  <c r="L103" i="1"/>
  <c r="L106" i="1" s="1"/>
  <c r="L107" i="1" s="1"/>
  <c r="L95" i="1"/>
  <c r="L87" i="1"/>
  <c r="L79" i="1"/>
  <c r="L69" i="1"/>
  <c r="L62" i="1"/>
  <c r="L53" i="1"/>
  <c r="L43" i="1"/>
  <c r="L36" i="1"/>
  <c r="L27" i="1"/>
  <c r="L18" i="1"/>
  <c r="M9" i="1"/>
  <c r="M103" i="1"/>
  <c r="M95" i="1"/>
  <c r="M87" i="1"/>
  <c r="M106" i="1" s="1"/>
  <c r="M107" i="1" s="1"/>
  <c r="M79" i="1"/>
  <c r="M69" i="1"/>
  <c r="M62" i="1"/>
  <c r="M53" i="1"/>
  <c r="M43" i="1"/>
  <c r="M36" i="1"/>
  <c r="M27" i="1"/>
  <c r="M18" i="1"/>
  <c r="N9" i="1"/>
  <c r="N103" i="1"/>
  <c r="N106" i="1" s="1"/>
  <c r="N107" i="1" s="1"/>
  <c r="N95" i="1"/>
  <c r="N87" i="1"/>
  <c r="N79" i="1"/>
  <c r="N69" i="1"/>
  <c r="N62" i="1"/>
  <c r="N53" i="1"/>
  <c r="N43" i="1"/>
  <c r="N36" i="1"/>
  <c r="N27" i="1"/>
  <c r="N18" i="1"/>
  <c r="O9" i="1"/>
  <c r="O103" i="1"/>
  <c r="O95" i="1"/>
  <c r="O87" i="1"/>
  <c r="O106" i="1" s="1"/>
  <c r="O107" i="1" s="1"/>
  <c r="O79" i="1"/>
  <c r="O69" i="1"/>
  <c r="O62" i="1"/>
  <c r="O53" i="1"/>
  <c r="O43" i="1"/>
  <c r="O36" i="1"/>
  <c r="O27" i="1"/>
  <c r="O18" i="1"/>
  <c r="D9" i="1"/>
  <c r="D103" i="1"/>
  <c r="D95" i="1"/>
  <c r="D87" i="1"/>
  <c r="D79" i="1"/>
  <c r="D69" i="1"/>
  <c r="D62" i="1"/>
  <c r="D53" i="1"/>
  <c r="D43" i="1"/>
  <c r="D36" i="1"/>
  <c r="D27" i="1"/>
  <c r="D18" i="1"/>
  <c r="D106" i="1"/>
  <c r="D107" i="1" s="1"/>
  <c r="Q2" i="1"/>
  <c r="P106" i="1" l="1"/>
  <c r="P107" i="1" s="1"/>
</calcChain>
</file>

<file path=xl/sharedStrings.xml><?xml version="1.0" encoding="utf-8"?>
<sst xmlns="http://schemas.openxmlformats.org/spreadsheetml/2006/main" count="325" uniqueCount="128">
  <si>
    <t>Sobre o modelo</t>
  </si>
  <si>
    <t>Use este modelo para manter o orçamento mensal e anual.</t>
  </si>
  <si>
    <t>Insira Receitas e Despesas nas respectivas tabelas para calcular sobra e falta no orçamento de cada mês e ano.</t>
  </si>
  <si>
    <t>Os minigráficos são atualizados automaticamente em cada tabela.</t>
  </si>
  <si>
    <t>Observação: </t>
  </si>
  <si>
    <t>Instruções adicionais são fornecidas na coluna A da planilha ORÇAMENTO PESSOAL. Este texto está oculto de propósito. Para removê-lo, selecione a coluna A e selecione Excluir. Para reexibir o texto, selecione a coluna A e altere a cor da fonte.</t>
  </si>
  <si>
    <t>Para saber mais sobre tabelas, pressione SHIFT e F10 dentro de uma tabela, selecione a opção TABELA e, em seguida, selecione TEXTO ALTERNATIVO.</t>
  </si>
  <si>
    <t>Crie um orçamento pessoal simples nesta planilha. Instruções úteis sobre como usar esta planilha estão nas células desta coluna. Pressione Seta para baixo para começar.</t>
  </si>
  <si>
    <t>O título desta planilha está na célula à direita. Insira o ano na célula Q2. A próxima instrução está na célula A4.</t>
  </si>
  <si>
    <t>Os rótulos estão nas células C4 a P4.</t>
  </si>
  <si>
    <t>Insira os detalhes na tabela receita, começando na célula C5. A próxima instrução está na célula A11.</t>
  </si>
  <si>
    <t>Os rótulos estão nas células C11 a P11.</t>
  </si>
  <si>
    <t>Insira as despesas domésticas na tabela, começando na célula C12. A próxima instrução está na célula A20.</t>
  </si>
  <si>
    <t>Insira as despesas diárias na tabela, começando na célula C20. A próxima instrução está na célula A29.</t>
  </si>
  <si>
    <t>Insira as despesas de transporte na tabela, começando na célula C29. A próxima instrução está na célula A38.</t>
  </si>
  <si>
    <t>Insira as despesas de entretenimento na tabela, começando na célula C38. A próxima instrução está na célula A45.</t>
  </si>
  <si>
    <t>Insira as despesas de saúde na tabela, começando na célula C45. A próxima instrução está na célula A55.</t>
  </si>
  <si>
    <t>Insira as despesas de férias na tabela, começando na célula C55. A próxima instrução está na célula A64.</t>
  </si>
  <si>
    <t>Insira as despesas de lazer na tabela, começando na célula C64. A próxima instrução está na célula A71.</t>
  </si>
  <si>
    <t>Insira as despesas de mensalidades e assinaturas na tabela, começando na célula C71. A próxima instrução está na célula A81.</t>
  </si>
  <si>
    <t>Insira as despesas pessoais na tabela, começando na célula C81. A próxima instrução está na célula A89.</t>
  </si>
  <si>
    <t>Insira as obrigações financeiras na tabela, começando na célula C89. A próxima instrução está na célula A97.</t>
  </si>
  <si>
    <t>Insira os pagamentos diversos na tabela, começando na célula C97. A próxima instrução está na célula A105.</t>
  </si>
  <si>
    <t>Os totais são calculados automaticamente na tabela, começando na célula C105. As despesas totais e a sobra e falta no orçamento são calculadas automaticamente para cada mês e ano inteiro, e os minigráficos são atualizados.</t>
  </si>
  <si>
    <t>ORÇAMENTO PESSOAL</t>
  </si>
  <si>
    <t>RECEITA</t>
  </si>
  <si>
    <t>Salários</t>
  </si>
  <si>
    <t>Juros/dividendos</t>
  </si>
  <si>
    <t>Diversos</t>
  </si>
  <si>
    <t>Total</t>
  </si>
  <si>
    <t>DESPESAS</t>
  </si>
  <si>
    <t>DOMÉSTICAS</t>
  </si>
  <si>
    <t>Hipoteca</t>
  </si>
  <si>
    <t>Viagem</t>
  </si>
  <si>
    <t>Reparos</t>
  </si>
  <si>
    <t>Serviços</t>
  </si>
  <si>
    <t>Serviços Públicos</t>
  </si>
  <si>
    <t>Cotidiano</t>
  </si>
  <si>
    <t xml:space="preserve">Supermercado </t>
  </si>
  <si>
    <t>Creche</t>
  </si>
  <si>
    <t>Lavagem a seco</t>
  </si>
  <si>
    <t>Jantar fora</t>
  </si>
  <si>
    <t>Serviço de limpeza doméstica</t>
  </si>
  <si>
    <t>Passeador de cães</t>
  </si>
  <si>
    <t>TRANSPORTE</t>
  </si>
  <si>
    <t>Combustível</t>
  </si>
  <si>
    <t>Seguro</t>
  </si>
  <si>
    <t>Lavagem do carro</t>
  </si>
  <si>
    <t>Estacionamento</t>
  </si>
  <si>
    <t>Transporte público</t>
  </si>
  <si>
    <t>ENTRETENIMENTO</t>
  </si>
  <si>
    <t>TV a cabo</t>
  </si>
  <si>
    <t>Locações de vídeo/DVD</t>
  </si>
  <si>
    <t>Cinema/teatro</t>
  </si>
  <si>
    <t>Shows/clubes</t>
  </si>
  <si>
    <t>SAÚDE</t>
  </si>
  <si>
    <t>Mensalidade da academia</t>
  </si>
  <si>
    <t>Medicamentos com prescrição</t>
  </si>
  <si>
    <t>Medicamentos sem prescrição</t>
  </si>
  <si>
    <t>Coparticipação/particular</t>
  </si>
  <si>
    <t>Veterinário/medicamentos para animais de estimação</t>
  </si>
  <si>
    <t>Seguro de vida</t>
  </si>
  <si>
    <t>FÉRIAS</t>
  </si>
  <si>
    <t>Passagens de avião</t>
  </si>
  <si>
    <t>Acomodações</t>
  </si>
  <si>
    <t>Alimentação</t>
  </si>
  <si>
    <t>Souvenirs</t>
  </si>
  <si>
    <t>Taxas para transporte de animais de estimação</t>
  </si>
  <si>
    <t>Aluguel de carro</t>
  </si>
  <si>
    <t>LAZER</t>
  </si>
  <si>
    <t>Taxas da academia</t>
  </si>
  <si>
    <t>Equipamentos de esportes</t>
  </si>
  <si>
    <t>Mensalidade de sócio da equipe</t>
  </si>
  <si>
    <t>Brinquedos</t>
  </si>
  <si>
    <t>MENSALIDADES/ASSINATURAS</t>
  </si>
  <si>
    <t>Revistas</t>
  </si>
  <si>
    <t>Jornais</t>
  </si>
  <si>
    <t>Internet</t>
  </si>
  <si>
    <t>Rádio aberta</t>
  </si>
  <si>
    <t>TV aberta</t>
  </si>
  <si>
    <t>Organizações religiosas</t>
  </si>
  <si>
    <t>Donativo</t>
  </si>
  <si>
    <t>PESSOAIS</t>
  </si>
  <si>
    <t>Vestuário</t>
  </si>
  <si>
    <t>Presentes</t>
  </si>
  <si>
    <t>Salão/barbeiro</t>
  </si>
  <si>
    <t>Livros</t>
  </si>
  <si>
    <t>Música (CDs, etc.)</t>
  </si>
  <si>
    <t>OBRIGAÇÕES FINANCEIRAS</t>
  </si>
  <si>
    <t>Economias de longo prazo</t>
  </si>
  <si>
    <t>Aposentadoria</t>
  </si>
  <si>
    <t>Pagamentos do cartão de crédito</t>
  </si>
  <si>
    <t>Imposto de renda (adicional)</t>
  </si>
  <si>
    <t>Outras obrigações</t>
  </si>
  <si>
    <t>PAGAMENTOS DIVERSOS</t>
  </si>
  <si>
    <t>Outros</t>
  </si>
  <si>
    <t>TOTAIS</t>
  </si>
  <si>
    <t>Despesas totais</t>
  </si>
  <si>
    <t>Diferença de caixa</t>
  </si>
  <si>
    <t>JAN</t>
  </si>
  <si>
    <t>Janeiro</t>
  </si>
  <si>
    <t>FEV</t>
  </si>
  <si>
    <t>Fevereiro</t>
  </si>
  <si>
    <t>MAR</t>
  </si>
  <si>
    <t>Março</t>
  </si>
  <si>
    <t>ABR</t>
  </si>
  <si>
    <t>Abr</t>
  </si>
  <si>
    <t>MAIO</t>
  </si>
  <si>
    <t>Maio</t>
  </si>
  <si>
    <t>Mai</t>
  </si>
  <si>
    <t>JUN</t>
  </si>
  <si>
    <t>Jun</t>
  </si>
  <si>
    <t>JUL</t>
  </si>
  <si>
    <t>Julho</t>
  </si>
  <si>
    <t>AGO</t>
  </si>
  <si>
    <t>Agosto</t>
  </si>
  <si>
    <t>SET</t>
  </si>
  <si>
    <t>Setembro</t>
  </si>
  <si>
    <t>OUT</t>
  </si>
  <si>
    <t>Outubro</t>
  </si>
  <si>
    <t>NOV</t>
  </si>
  <si>
    <t>Novembro</t>
  </si>
  <si>
    <t>DEZ</t>
  </si>
  <si>
    <t>Dezembro</t>
  </si>
  <si>
    <t>ANO</t>
  </si>
  <si>
    <t>Ano</t>
  </si>
  <si>
    <t>Minigráfico</t>
  </si>
  <si>
    <t>MINIGRÁFICO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</si>
</sst>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37" x14ac:knownFonts="1">
    <font>
      <sz val="10"/>
      <color theme="1" tint="0.14993743705557422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25"/>
      <color rgb="FF000000"/>
      <name val="Gill Sans MT"/>
      <family val="2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  <font>
      <sz val="10"/>
      <color theme="1" tint="0.14993743705557422"/>
      <name val="verdana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4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4" borderId="0">
      <alignment vertical="center"/>
    </xf>
    <xf numFmtId="0" fontId="4" fillId="0" borderId="0" applyNumberFormat="0" applyFill="0" applyProtection="0">
      <alignment vertical="center"/>
    </xf>
    <xf numFmtId="0" fontId="3" fillId="0" borderId="1" applyNumberFormat="0" applyFill="0" applyProtection="0">
      <alignment vertical="center"/>
    </xf>
    <xf numFmtId="0" fontId="2" fillId="6" borderId="0" applyNumberFormat="0" applyProtection="0">
      <alignment horizontal="left" vertical="center" indent="1"/>
    </xf>
    <xf numFmtId="0" fontId="2" fillId="2" borderId="0" applyNumberFormat="0" applyProtection="0">
      <alignment vertical="center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5" applyNumberFormat="0" applyAlignment="0" applyProtection="0"/>
    <xf numFmtId="0" fontId="29" fillId="20" borderId="16" applyNumberFormat="0" applyAlignment="0" applyProtection="0"/>
    <xf numFmtId="0" fontId="30" fillId="20" borderId="15" applyNumberFormat="0" applyAlignment="0" applyProtection="0"/>
    <xf numFmtId="0" fontId="31" fillId="0" borderId="17" applyNumberFormat="0" applyFill="0" applyAlignment="0" applyProtection="0"/>
    <xf numFmtId="0" fontId="32" fillId="21" borderId="18" applyNumberFormat="0" applyAlignment="0" applyProtection="0"/>
    <xf numFmtId="0" fontId="33" fillId="0" borderId="0" applyNumberFormat="0" applyFill="0" applyBorder="0" applyAlignment="0" applyProtection="0"/>
    <xf numFmtId="0" fontId="23" fillId="22" borderId="1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70">
    <xf numFmtId="0" fontId="0" fillId="14" borderId="0" xfId="0">
      <alignment vertical="center"/>
    </xf>
    <xf numFmtId="0" fontId="0" fillId="14" borderId="0" xfId="0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right" vertical="center"/>
    </xf>
    <xf numFmtId="0" fontId="8" fillId="0" borderId="0" xfId="3" applyFont="1" applyFill="1">
      <alignment horizontal="left" vertical="center" indent="1"/>
    </xf>
    <xf numFmtId="0" fontId="10" fillId="0" borderId="0" xfId="3" applyFont="1" applyFill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1" fillId="10" borderId="0" xfId="3" applyFont="1" applyFill="1">
      <alignment horizontal="left" vertical="center" indent="1"/>
    </xf>
    <xf numFmtId="0" fontId="11" fillId="10" borderId="0" xfId="3" applyFont="1" applyFill="1" applyAlignment="1">
      <alignment horizontal="right" vertical="center"/>
    </xf>
    <xf numFmtId="0" fontId="9" fillId="10" borderId="0" xfId="0" applyFont="1" applyFill="1" applyAlignment="1">
      <alignment horizontal="left" vertical="center" indent="1"/>
    </xf>
    <xf numFmtId="0" fontId="9" fillId="10" borderId="0" xfId="0" applyFont="1" applyFill="1">
      <alignment vertical="center"/>
    </xf>
    <xf numFmtId="0" fontId="11" fillId="11" borderId="0" xfId="3" applyFont="1" applyFill="1" applyAlignment="1">
      <alignment horizontal="right" vertical="center"/>
    </xf>
    <xf numFmtId="0" fontId="9" fillId="11" borderId="0" xfId="0" applyFont="1" applyFill="1">
      <alignment vertical="center"/>
    </xf>
    <xf numFmtId="0" fontId="0" fillId="14" borderId="4" xfId="0" applyBorder="1">
      <alignment vertical="center"/>
    </xf>
    <xf numFmtId="0" fontId="0" fillId="14" borderId="5" xfId="0" applyBorder="1">
      <alignment vertical="center"/>
    </xf>
    <xf numFmtId="0" fontId="8" fillId="12" borderId="0" xfId="0" applyFont="1" applyFill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14" borderId="2" xfId="0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 indent="1"/>
    </xf>
    <xf numFmtId="0" fontId="5" fillId="7" borderId="9" xfId="0" applyFont="1" applyFill="1" applyBorder="1" applyAlignment="1">
      <alignment horizontal="right" vertical="center"/>
    </xf>
    <xf numFmtId="0" fontId="9" fillId="12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5" fillId="9" borderId="0" xfId="0" applyFont="1" applyFill="1" applyAlignment="1">
      <alignment horizontal="right" vertical="center"/>
    </xf>
    <xf numFmtId="0" fontId="16" fillId="3" borderId="0" xfId="0" applyFont="1" applyFill="1">
      <alignment vertical="center"/>
    </xf>
    <xf numFmtId="0" fontId="16" fillId="3" borderId="10" xfId="0" applyFont="1" applyFill="1" applyBorder="1">
      <alignment vertical="center"/>
    </xf>
    <xf numFmtId="0" fontId="15" fillId="9" borderId="11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left" vertical="center" indent="1"/>
    </xf>
    <xf numFmtId="0" fontId="6" fillId="7" borderId="9" xfId="0" applyFont="1" applyFill="1" applyBorder="1" applyAlignment="1">
      <alignment horizontal="right" vertical="center"/>
    </xf>
    <xf numFmtId="0" fontId="0" fillId="7" borderId="13" xfId="0" applyFill="1" applyBorder="1" applyAlignment="1">
      <alignment horizontal="left" vertical="center" indent="1"/>
    </xf>
    <xf numFmtId="0" fontId="0" fillId="7" borderId="9" xfId="0" applyFill="1" applyBorder="1" applyAlignment="1">
      <alignment horizontal="right" vertical="center"/>
    </xf>
    <xf numFmtId="0" fontId="0" fillId="7" borderId="14" xfId="0" applyFill="1" applyBorder="1" applyAlignment="1">
      <alignment horizontal="left" vertical="center" indent="1"/>
    </xf>
    <xf numFmtId="0" fontId="17" fillId="15" borderId="0" xfId="0" applyFont="1" applyFill="1" applyAlignment="1">
      <alignment horizontal="center" vertical="center"/>
    </xf>
    <xf numFmtId="0" fontId="18" fillId="14" borderId="0" xfId="0" applyFont="1" applyAlignment="1">
      <alignment vertical="center" wrapText="1"/>
    </xf>
    <xf numFmtId="0" fontId="19" fillId="14" borderId="0" xfId="0" applyFont="1" applyAlignment="1">
      <alignment vertical="center" wrapText="1"/>
    </xf>
    <xf numFmtId="0" fontId="9" fillId="14" borderId="3" xfId="0" applyFont="1" applyBorder="1">
      <alignment vertical="center"/>
    </xf>
    <xf numFmtId="0" fontId="20" fillId="14" borderId="0" xfId="0" applyFont="1" applyAlignment="1">
      <alignment wrapText="1"/>
    </xf>
    <xf numFmtId="0" fontId="21" fillId="14" borderId="0" xfId="0" applyFont="1" applyAlignment="1">
      <alignment vertical="center" wrapText="1"/>
    </xf>
    <xf numFmtId="0" fontId="20" fillId="14" borderId="0" xfId="0" applyFont="1" applyAlignment="1">
      <alignment vertical="center" wrapText="1"/>
    </xf>
    <xf numFmtId="0" fontId="22" fillId="10" borderId="0" xfId="3" applyFont="1" applyFill="1">
      <alignment horizontal="left" vertical="center" indent="1"/>
    </xf>
    <xf numFmtId="0" fontId="16" fillId="3" borderId="0" xfId="0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166" fontId="5" fillId="7" borderId="9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6" fontId="6" fillId="7" borderId="0" xfId="0" applyNumberFormat="1" applyFont="1" applyFill="1" applyAlignment="1">
      <alignment horizontal="right" vertical="center"/>
    </xf>
    <xf numFmtId="166" fontId="6" fillId="7" borderId="9" xfId="0" applyNumberFormat="1" applyFont="1" applyFill="1" applyBorder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6" fontId="0" fillId="12" borderId="0" xfId="0" applyNumberFormat="1" applyFill="1" applyAlignment="1">
      <alignment horizontal="right" vertical="center"/>
    </xf>
    <xf numFmtId="166" fontId="0" fillId="7" borderId="0" xfId="0" applyNumberFormat="1" applyFill="1" applyAlignment="1">
      <alignment horizontal="right" vertical="center"/>
    </xf>
    <xf numFmtId="166" fontId="0" fillId="8" borderId="9" xfId="0" applyNumberFormat="1" applyFill="1" applyBorder="1" applyAlignment="1">
      <alignment horizontal="right" vertical="center"/>
    </xf>
    <xf numFmtId="166" fontId="0" fillId="7" borderId="9" xfId="0" applyNumberFormat="1" applyFill="1" applyBorder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6" fontId="0" fillId="9" borderId="0" xfId="0" applyNumberFormat="1" applyFill="1" applyAlignment="1">
      <alignment horizontal="right" vertical="center"/>
    </xf>
    <xf numFmtId="166" fontId="0" fillId="13" borderId="9" xfId="0" applyNumberFormat="1" applyFill="1" applyBorder="1" applyAlignment="1">
      <alignment horizontal="right" vertical="center"/>
    </xf>
    <xf numFmtId="166" fontId="9" fillId="11" borderId="0" xfId="0" applyNumberFormat="1" applyFont="1" applyFill="1" applyAlignment="1">
      <alignment horizontal="right" vertical="center"/>
    </xf>
    <xf numFmtId="166" fontId="9" fillId="10" borderId="0" xfId="0" applyNumberFormat="1" applyFont="1" applyFill="1" applyAlignment="1">
      <alignment horizontal="right" vertical="center"/>
    </xf>
    <xf numFmtId="0" fontId="14" fillId="14" borderId="0" xfId="0" applyFont="1" applyAlignment="1"/>
    <xf numFmtId="0" fontId="0" fillId="14" borderId="3" xfId="0" applyBorder="1" applyAlignment="1">
      <alignment horizontal="center" vertical="center"/>
    </xf>
    <xf numFmtId="0" fontId="0" fillId="14" borderId="0" xfId="0">
      <alignment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7" builtinId="4" customBuiltin="1"/>
    <cellStyle name="Moeda [0]" xfId="8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9" builtinId="5" customBuiltin="1"/>
    <cellStyle name="Ruim" xfId="12" builtinId="27" customBuiltin="1"/>
    <cellStyle name="Saída" xfId="15" builtinId="21" customBuiltin="1"/>
    <cellStyle name="Separador de milhares [0]" xfId="6" builtinId="6" customBuiltin="1"/>
    <cellStyle name="Texto de Aviso" xfId="19" builtinId="11" customBuiltin="1"/>
    <cellStyle name="Texto Explicativo" xfId="21" builtinId="53" customBuiltin="1"/>
    <cellStyle name="Título" xfId="10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hidden="1" customBuiltin="1"/>
    <cellStyle name="Total" xfId="22" builtinId="25" customBuiltin="1"/>
    <cellStyle name="Vírgula" xfId="5" builtinId="3" customBuiltin="1"/>
  </cellStyles>
  <dxfs count="360">
    <dxf>
      <font>
        <strike val="0"/>
        <outline val="0"/>
        <shadow val="0"/>
        <u val="none"/>
        <vertAlign val="baseline"/>
        <sz val="10"/>
        <color theme="0"/>
      </font>
      <numFmt numFmtId="167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R$&quot;\ 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7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R$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/>
        </left>
        <right/>
        <top/>
        <bottom style="thick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</dxfs>
  <tableStyles count="3" defaultTableStyle="Orçamento pessoal – despesas" defaultPivotStyle="PivotStyleLight16">
    <tableStyle name="Orçamento pessoal – despesas" pivot="0" count="9" xr9:uid="{00000000-0011-0000-FFFF-FFFF01000000}">
      <tableStyleElement type="wholeTable" dxfId="359"/>
      <tableStyleElement type="headerRow" dxfId="358"/>
      <tableStyleElement type="totalRow" dxfId="357"/>
      <tableStyleElement type="firstColumn" dxfId="356"/>
      <tableStyleElement type="lastColumn" dxfId="355"/>
      <tableStyleElement type="firstRowStripe" dxfId="354"/>
      <tableStyleElement type="firstColumnStripe" dxfId="353"/>
      <tableStyleElement type="firstTotalCell" dxfId="352"/>
      <tableStyleElement type="lastTotalCell" dxfId="351"/>
    </tableStyle>
    <tableStyle name="Orçamento pessoal – receita" pivot="0" count="9" xr9:uid="{00000000-0011-0000-FFFF-FFFF00000000}">
      <tableStyleElement type="wholeTable" dxfId="350"/>
      <tableStyleElement type="headerRow" dxfId="349"/>
      <tableStyleElement type="totalRow" dxfId="348"/>
      <tableStyleElement type="firstColumn" dxfId="347"/>
      <tableStyleElement type="lastColumn" dxfId="346"/>
      <tableStyleElement type="firstRowStripe" dxfId="345"/>
      <tableStyleElement type="firstColumnStripe" dxfId="344"/>
      <tableStyleElement type="firstTotalCell" dxfId="343"/>
      <tableStyleElement type="lastTotalCell" dxfId="342"/>
    </tableStyle>
    <tableStyle name="Orçamento pessoal – total" pivot="0" count="9" xr9:uid="{00000000-0011-0000-FFFF-FFFF02000000}">
      <tableStyleElement type="wholeTable" dxfId="341"/>
      <tableStyleElement type="headerRow" dxfId="340"/>
      <tableStyleElement type="totalRow" dxfId="339"/>
      <tableStyleElement type="firstColumn" dxfId="338"/>
      <tableStyleElement type="lastColumn" dxfId="337"/>
      <tableStyleElement type="firstRowStripe" dxfId="336"/>
      <tableStyleElement type="firstColumnStripe" dxfId="335"/>
      <tableStyleElement type="firstTotalCell" dxfId="334"/>
      <tableStyleElement type="lastTotalCell" dxfId="333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1</xdr:row>
      <xdr:rowOff>188141</xdr:rowOff>
    </xdr:from>
    <xdr:to>
      <xdr:col>17</xdr:col>
      <xdr:colOff>9922</xdr:colOff>
      <xdr:row>2</xdr:row>
      <xdr:rowOff>9526</xdr:rowOff>
    </xdr:to>
    <xdr:sp macro="" textlink="$Q$2">
      <xdr:nvSpPr>
        <xdr:cNvPr id="3" name="Retângulo 2" descr="Ano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6490156" y="346891"/>
          <a:ext cx="1131094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5844B8A-4141-4FF4-9316-6625FB86BF57}" type="TxLink">
            <a:rPr lang="en-US" sz="1000" b="1" i="0" u="none" strike="noStrike">
              <a:solidFill>
                <a:schemeClr val="bg1"/>
              </a:solidFill>
              <a:latin typeface="verdana" panose="020B0604030504040204" pitchFamily="34" charset="0"/>
              <a:ea typeface="verdana"/>
              <a:cs typeface="verdana"/>
            </a:rPr>
            <a:pPr algn="ctr" rtl="0"/>
            <a:t>2021</a:t>
          </a:fld>
          <a:endParaRPr lang="en-US" sz="1200" b="1">
            <a:solidFill>
              <a:schemeClr val="bg1"/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eita" displayName="Receita" ref="C5:Q9" totalsRowCount="1" headerRowDxfId="331" dataDxfId="330" totalsRowDxfId="329">
  <autoFilter ref="C5:Q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RECEITA" totalsRowLabel="Total" totalsRowDxfId="328"/>
    <tableColumn id="2" xr3:uid="{00000000-0010-0000-0000-000002000000}" name="Janeiro" totalsRowFunction="sum" dataDxfId="327" totalsRowDxfId="326"/>
    <tableColumn id="3" xr3:uid="{00000000-0010-0000-0000-000003000000}" name="Fevereiro" totalsRowFunction="sum" dataDxfId="325" totalsRowDxfId="324"/>
    <tableColumn id="4" xr3:uid="{00000000-0010-0000-0000-000004000000}" name="Março" totalsRowFunction="sum" dataDxfId="323" totalsRowDxfId="322"/>
    <tableColumn id="5" xr3:uid="{00000000-0010-0000-0000-000005000000}" name="Abr" totalsRowFunction="sum" dataDxfId="321" totalsRowDxfId="320"/>
    <tableColumn id="6" xr3:uid="{00000000-0010-0000-0000-000006000000}" name="Maio" totalsRowFunction="sum" dataDxfId="319" totalsRowDxfId="318"/>
    <tableColumn id="7" xr3:uid="{00000000-0010-0000-0000-000007000000}" name="Jun" totalsRowFunction="sum" dataDxfId="317" totalsRowDxfId="316"/>
    <tableColumn id="8" xr3:uid="{00000000-0010-0000-0000-000008000000}" name="Julho" totalsRowFunction="sum" dataDxfId="315" totalsRowDxfId="314"/>
    <tableColumn id="9" xr3:uid="{00000000-0010-0000-0000-000009000000}" name="Agosto" totalsRowFunction="sum" dataDxfId="313" totalsRowDxfId="312"/>
    <tableColumn id="10" xr3:uid="{00000000-0010-0000-0000-00000A000000}" name="Setembro" totalsRowFunction="sum" dataDxfId="311" totalsRowDxfId="310"/>
    <tableColumn id="11" xr3:uid="{00000000-0010-0000-0000-00000B000000}" name="Outubro" totalsRowFunction="sum" dataDxfId="309" totalsRowDxfId="308"/>
    <tableColumn id="12" xr3:uid="{00000000-0010-0000-0000-00000C000000}" name="Novembro" totalsRowFunction="sum" dataDxfId="307" totalsRowDxfId="306"/>
    <tableColumn id="13" xr3:uid="{00000000-0010-0000-0000-00000D000000}" name="Dezembro" totalsRowFunction="sum" dataDxfId="305" totalsRowDxfId="304"/>
    <tableColumn id="14" xr3:uid="{00000000-0010-0000-0000-00000E000000}" name="Ano" totalsRowFunction="sum" dataDxfId="303" totalsRowDxfId="302">
      <calculatedColumnFormula>SUM(Receita[[#This Row],[Janeiro]:[Dezembro]])</calculatedColumnFormula>
    </tableColumn>
    <tableColumn id="15" xr3:uid="{00000000-0010-0000-0000-00000F000000}" name="Minigráfico" totalsRowDxfId="30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receita e valores mensais nesta tabela. O valor anual e os totais mensais são calculados automaticamente e os minigráficos são atualizado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ssoais" displayName="Pessoais" ref="C81:Q87" totalsRowCount="1" headerRowDxfId="94" dataDxfId="93" totalsRowDxfId="92">
  <autoFilter ref="C81:Q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SSOAIS" totalsRowLabel="Total" dataDxfId="91" totalsRowDxfId="90"/>
    <tableColumn id="2" xr3:uid="{00000000-0010-0000-0900-000002000000}" name="Janeiro" totalsRowFunction="sum" totalsRowDxfId="89"/>
    <tableColumn id="3" xr3:uid="{00000000-0010-0000-0900-000003000000}" name="Fevereiro" totalsRowFunction="sum" dataDxfId="88" totalsRowDxfId="87"/>
    <tableColumn id="4" xr3:uid="{00000000-0010-0000-0900-000004000000}" name="Março" totalsRowFunction="sum" totalsRowDxfId="86"/>
    <tableColumn id="5" xr3:uid="{00000000-0010-0000-0900-000005000000}" name="Abr" totalsRowFunction="sum" dataDxfId="85" totalsRowDxfId="84"/>
    <tableColumn id="6" xr3:uid="{00000000-0010-0000-0900-000006000000}" name="Mai" totalsRowFunction="sum" totalsRowDxfId="83"/>
    <tableColumn id="7" xr3:uid="{00000000-0010-0000-0900-000007000000}" name="Jun" totalsRowFunction="sum" dataDxfId="82" totalsRowDxfId="81"/>
    <tableColumn id="8" xr3:uid="{00000000-0010-0000-0900-000008000000}" name="Julho" totalsRowFunction="sum" totalsRowDxfId="80"/>
    <tableColumn id="9" xr3:uid="{00000000-0010-0000-0900-000009000000}" name="Agosto" totalsRowFunction="sum" dataDxfId="79" totalsRowDxfId="78"/>
    <tableColumn id="10" xr3:uid="{00000000-0010-0000-0900-00000A000000}" name="Setembro" totalsRowFunction="sum" totalsRowDxfId="77"/>
    <tableColumn id="11" xr3:uid="{00000000-0010-0000-0900-00000B000000}" name="Outubro" totalsRowFunction="sum" dataDxfId="76" totalsRowDxfId="75"/>
    <tableColumn id="12" xr3:uid="{00000000-0010-0000-0900-00000C000000}" name="Novembro" totalsRowFunction="sum" totalsRowDxfId="74"/>
    <tableColumn id="13" xr3:uid="{00000000-0010-0000-0900-00000D000000}" name="Dezembro" totalsRowFunction="sum" dataDxfId="73" totalsRowDxfId="72"/>
    <tableColumn id="14" xr3:uid="{00000000-0010-0000-0900-00000E000000}" name="Ano" totalsRowFunction="sum" totalsRowDxfId="71">
      <calculatedColumnFormula>SUM(Pessoais[[#This Row],[Janeiro]:[Dezembro]])</calculatedColumnFormula>
    </tableColumn>
    <tableColumn id="15" xr3:uid="{00000000-0010-0000-0900-00000F000000}" name="Minigráfico" dataDxfId="70" totalsRowDxfId="6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pessoais e valores mensais nesta tabela. O valor anual e os totais mensais são calculados automaticamente e os minigráficos são atualizado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eiro" displayName="Financeiro" ref="C89:Q95" totalsRowCount="1" headerRowDxfId="68" dataDxfId="67" totalsRowDxfId="66">
  <autoFilter ref="C89:Q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OBRIGAÇÕES FINANCEIRAS" totalsRowLabel="Total" dataDxfId="65" totalsRowDxfId="64"/>
    <tableColumn id="2" xr3:uid="{00000000-0010-0000-0A00-000002000000}" name="Janeiro" totalsRowFunction="sum" totalsRowDxfId="63"/>
    <tableColumn id="3" xr3:uid="{00000000-0010-0000-0A00-000003000000}" name="Fevereiro" totalsRowFunction="sum" dataDxfId="62" totalsRowDxfId="61"/>
    <tableColumn id="4" xr3:uid="{00000000-0010-0000-0A00-000004000000}" name="Março" totalsRowFunction="sum" totalsRowDxfId="60"/>
    <tableColumn id="5" xr3:uid="{00000000-0010-0000-0A00-000005000000}" name="Abr" totalsRowFunction="sum" dataDxfId="59" totalsRowDxfId="58"/>
    <tableColumn id="6" xr3:uid="{00000000-0010-0000-0A00-000006000000}" name="Mai" totalsRowFunction="sum" totalsRowDxfId="57"/>
    <tableColumn id="7" xr3:uid="{00000000-0010-0000-0A00-000007000000}" name="Jun" totalsRowFunction="sum" dataDxfId="56" totalsRowDxfId="55"/>
    <tableColumn id="8" xr3:uid="{00000000-0010-0000-0A00-000008000000}" name="Julho" totalsRowFunction="sum" totalsRowDxfId="54"/>
    <tableColumn id="9" xr3:uid="{00000000-0010-0000-0A00-000009000000}" name="Agosto" totalsRowFunction="sum" dataDxfId="53" totalsRowDxfId="52"/>
    <tableColumn id="10" xr3:uid="{00000000-0010-0000-0A00-00000A000000}" name="Setembro" totalsRowFunction="sum" totalsRowDxfId="51"/>
    <tableColumn id="11" xr3:uid="{00000000-0010-0000-0A00-00000B000000}" name="Outubro" totalsRowFunction="sum" dataDxfId="50" totalsRowDxfId="49"/>
    <tableColumn id="12" xr3:uid="{00000000-0010-0000-0A00-00000C000000}" name="Novembro" totalsRowFunction="sum" totalsRowDxfId="48"/>
    <tableColumn id="13" xr3:uid="{00000000-0010-0000-0A00-00000D000000}" name="Dezembro" totalsRowFunction="sum" dataDxfId="47" totalsRowDxfId="46"/>
    <tableColumn id="14" xr3:uid="{00000000-0010-0000-0A00-00000E000000}" name="Ano" totalsRowFunction="sum" totalsRowDxfId="45">
      <calculatedColumnFormula>SUM(Financeiro[[#This Row],[Janeiro]:[Dezembro]])</calculatedColumnFormula>
    </tableColumn>
    <tableColumn id="15" xr3:uid="{00000000-0010-0000-0A00-00000F000000}" name="Minigráfico" dataDxfId="44" totalsRowDxfId="4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obrigações financeiras e valores mensais nesta tabela. O valor anual e os totais mensais são calculados automaticamente e os minigráficos são atualizado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iversos" displayName="Diversos" ref="C97:Q103" totalsRowCount="1" headerRowDxfId="42" dataDxfId="41" totalsRowDxfId="40">
  <autoFilter ref="C97:Q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PAGAMENTOS DIVERSOS" totalsRowLabel="Total" dataDxfId="39" totalsRowDxfId="38"/>
    <tableColumn id="2" xr3:uid="{00000000-0010-0000-0B00-000002000000}" name="Janeiro" totalsRowFunction="sum" totalsRowDxfId="37"/>
    <tableColumn id="3" xr3:uid="{00000000-0010-0000-0B00-000003000000}" name="Fevereiro" totalsRowFunction="sum" dataDxfId="36" totalsRowDxfId="35"/>
    <tableColumn id="4" xr3:uid="{00000000-0010-0000-0B00-000004000000}" name="Março" totalsRowFunction="sum" totalsRowDxfId="34"/>
    <tableColumn id="5" xr3:uid="{00000000-0010-0000-0B00-000005000000}" name="Abr" totalsRowFunction="sum" dataDxfId="33" totalsRowDxfId="32"/>
    <tableColumn id="6" xr3:uid="{00000000-0010-0000-0B00-000006000000}" name="Maio" totalsRowFunction="sum" totalsRowDxfId="31"/>
    <tableColumn id="7" xr3:uid="{00000000-0010-0000-0B00-000007000000}" name="Jun" totalsRowFunction="sum" dataDxfId="30" totalsRowDxfId="29"/>
    <tableColumn id="8" xr3:uid="{00000000-0010-0000-0B00-000008000000}" name="Julho" totalsRowFunction="sum" totalsRowDxfId="28"/>
    <tableColumn id="9" xr3:uid="{00000000-0010-0000-0B00-000009000000}" name="Agosto" totalsRowFunction="sum" dataDxfId="27" totalsRowDxfId="26"/>
    <tableColumn id="10" xr3:uid="{00000000-0010-0000-0B00-00000A000000}" name="Setembro" totalsRowFunction="sum" totalsRowDxfId="25"/>
    <tableColumn id="11" xr3:uid="{00000000-0010-0000-0B00-00000B000000}" name="Outubro" totalsRowFunction="sum" dataDxfId="24" totalsRowDxfId="23"/>
    <tableColumn id="12" xr3:uid="{00000000-0010-0000-0B00-00000C000000}" name="Novembro" totalsRowFunction="sum" totalsRowDxfId="22"/>
    <tableColumn id="13" xr3:uid="{00000000-0010-0000-0B00-00000D000000}" name="Dezembro" totalsRowFunction="sum" dataDxfId="21" totalsRowDxfId="20"/>
    <tableColumn id="14" xr3:uid="{00000000-0010-0000-0B00-00000E000000}" name="Ano" totalsRowFunction="sum" totalsRowDxfId="19">
      <calculatedColumnFormula>SUM(Diversos[[#This Row],[Janeiro]:[Dezembro]])</calculatedColumnFormula>
    </tableColumn>
    <tableColumn id="15" xr3:uid="{00000000-0010-0000-0B00-00000F000000}" name="Minigráfico" dataDxfId="18" totalsRowDxfId="1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pagamentos e itens diversos nesta tabela. O valor anual e os totais mensais são calculados automaticamente e os minigráficos são atualizado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is" displayName="Totais" ref="C105:Q107" totalsRowShown="0" headerRowDxfId="16" dataDxfId="15">
  <tableColumns count="15">
    <tableColumn id="1" xr3:uid="{00000000-0010-0000-0C00-000001000000}" name="TOTAIS" dataDxfId="14"/>
    <tableColumn id="2" xr3:uid="{00000000-0010-0000-0C00-000002000000}" name="JAN" dataDxfId="13">
      <calculatedColumnFormula>Receita[[#Totals],[Janeiro]]-D105</calculatedColumnFormula>
    </tableColumn>
    <tableColumn id="3" xr3:uid="{00000000-0010-0000-0C00-000003000000}" name="FEV" dataDxfId="12">
      <calculatedColumnFormula>Receita[[#Totals],[Fevereiro]]-E105</calculatedColumnFormula>
    </tableColumn>
    <tableColumn id="4" xr3:uid="{00000000-0010-0000-0C00-000004000000}" name="MAR" dataDxfId="11">
      <calculatedColumnFormula>Receita[[#Totals],[Março]]-F105</calculatedColumnFormula>
    </tableColumn>
    <tableColumn id="5" xr3:uid="{00000000-0010-0000-0C00-000005000000}" name="ABR" dataDxfId="10">
      <calculatedColumnFormula>Receita[[#Totals],[Abr]]-G105</calculatedColumnFormula>
    </tableColumn>
    <tableColumn id="6" xr3:uid="{00000000-0010-0000-0C00-000006000000}" name="MAIO" dataDxfId="9">
      <calculatedColumnFormula>Receita[[#Totals],[Maio]]-H105</calculatedColumnFormula>
    </tableColumn>
    <tableColumn id="7" xr3:uid="{00000000-0010-0000-0C00-000007000000}" name="JUN" dataDxfId="8">
      <calculatedColumnFormula>Receita[[#Totals],[Jun]]-I105</calculatedColumnFormula>
    </tableColumn>
    <tableColumn id="8" xr3:uid="{00000000-0010-0000-0C00-000008000000}" name="JUL" dataDxfId="7">
      <calculatedColumnFormula>Receita[[#Totals],[Julho]]-J105</calculatedColumnFormula>
    </tableColumn>
    <tableColumn id="9" xr3:uid="{00000000-0010-0000-0C00-000009000000}" name="AGO" dataDxfId="6">
      <calculatedColumnFormula>Receita[[#Totals],[Agosto]]-K105</calculatedColumnFormula>
    </tableColumn>
    <tableColumn id="10" xr3:uid="{00000000-0010-0000-0C00-00000A000000}" name="SET" dataDxfId="5">
      <calculatedColumnFormula>Receita[[#Totals],[Setembro]]-L105</calculatedColumnFormula>
    </tableColumn>
    <tableColumn id="11" xr3:uid="{00000000-0010-0000-0C00-00000B000000}" name="OUT" dataDxfId="4">
      <calculatedColumnFormula>Receita[[#Totals],[Outubro]]-M105</calculatedColumnFormula>
    </tableColumn>
    <tableColumn id="12" xr3:uid="{00000000-0010-0000-0C00-00000C000000}" name="NOV" dataDxfId="3">
      <calculatedColumnFormula>Receita[[#Totals],[Novembro]]-N105</calculatedColumnFormula>
    </tableColumn>
    <tableColumn id="13" xr3:uid="{00000000-0010-0000-0C00-00000D000000}" name="DEZ" dataDxfId="2">
      <calculatedColumnFormula>Receita[[#Totals],[Dezembro]]-O105</calculatedColumnFormula>
    </tableColumn>
    <tableColumn id="14" xr3:uid="{00000000-0010-0000-0C00-00000E000000}" name="ANO" dataDxfId="1">
      <calculatedColumnFormula>Receita[[#Totals],[Ano]]-P105</calculatedColumnFormula>
    </tableColumn>
    <tableColumn id="15" xr3:uid="{00000000-0010-0000-0C00-00000F000000}" name="MINIGRÁFICO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As despesas totais e a sobra e falta no orçamento são calculadas automaticamente para cada mês e ano inteiro, e os minigráficos são atualizado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mésticas" displayName="Domésticas" ref="C12:Q18" totalsRowCount="1" headerRowDxfId="300" dataDxfId="299" totalsRowDxfId="298">
  <autoFilter ref="C12:Q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DOMÉSTICAS" totalsRowLabel="Total" totalsRowDxfId="297"/>
    <tableColumn id="2" xr3:uid="{00000000-0010-0000-0100-000002000000}" name="Janeiro" totalsRowFunction="sum" dataDxfId="296" totalsRowDxfId="295"/>
    <tableColumn id="3" xr3:uid="{00000000-0010-0000-0100-000003000000}" name="Fevereiro" totalsRowFunction="sum" dataDxfId="294" totalsRowDxfId="293"/>
    <tableColumn id="4" xr3:uid="{00000000-0010-0000-0100-000004000000}" name="Março" totalsRowFunction="sum" dataDxfId="292" totalsRowDxfId="291"/>
    <tableColumn id="5" xr3:uid="{00000000-0010-0000-0100-000005000000}" name="Abr" totalsRowFunction="sum" dataDxfId="290" totalsRowDxfId="289"/>
    <tableColumn id="6" xr3:uid="{00000000-0010-0000-0100-000006000000}" name="Mai" totalsRowFunction="sum" dataDxfId="288" totalsRowDxfId="287"/>
    <tableColumn id="7" xr3:uid="{00000000-0010-0000-0100-000007000000}" name="Jun" totalsRowFunction="sum" dataDxfId="286" totalsRowDxfId="285"/>
    <tableColumn id="8" xr3:uid="{00000000-0010-0000-0100-000008000000}" name="Julho" totalsRowFunction="sum" dataDxfId="284" totalsRowDxfId="283"/>
    <tableColumn id="9" xr3:uid="{00000000-0010-0000-0100-000009000000}" name="Agosto" totalsRowFunction="sum" dataDxfId="282" totalsRowDxfId="281"/>
    <tableColumn id="10" xr3:uid="{00000000-0010-0000-0100-00000A000000}" name="Setembro" totalsRowFunction="sum" dataDxfId="280" totalsRowDxfId="279"/>
    <tableColumn id="11" xr3:uid="{00000000-0010-0000-0100-00000B000000}" name="Outubro" totalsRowFunction="sum" dataDxfId="278" totalsRowDxfId="277"/>
    <tableColumn id="12" xr3:uid="{00000000-0010-0000-0100-00000C000000}" name="Novembro" totalsRowFunction="sum" dataDxfId="276" totalsRowDxfId="275"/>
    <tableColumn id="13" xr3:uid="{00000000-0010-0000-0100-00000D000000}" name="Dezembro" totalsRowFunction="sum" dataDxfId="274" totalsRowDxfId="273"/>
    <tableColumn id="14" xr3:uid="{00000000-0010-0000-0100-00000E000000}" name="Ano" totalsRowFunction="sum" dataDxfId="272" totalsRowDxfId="271">
      <calculatedColumnFormula>SUM(Domésticas[[#This Row],[Janeiro]:[Dezembro]])</calculatedColumnFormula>
    </tableColumn>
    <tableColumn id="15" xr3:uid="{00000000-0010-0000-0100-00000F000000}" name="Minigráfico" totalsRowDxfId="27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omésticas e valores mensais nesta tabela. O valor anual e os totais mensais são calculados automaticamente e os minigráficos são atualizado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iárias" displayName="Diárias" ref="C20:Q27" totalsRowCount="1" headerRowDxfId="269" dataDxfId="268" totalsRowDxfId="267">
  <autoFilter ref="C20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Cotidiano" totalsRowLabel="Total" totalsRowDxfId="266"/>
    <tableColumn id="2" xr3:uid="{00000000-0010-0000-0200-000002000000}" name="Janeiro" totalsRowFunction="sum" dataDxfId="265" totalsRowDxfId="264"/>
    <tableColumn id="3" xr3:uid="{00000000-0010-0000-0200-000003000000}" name="Fevereiro" totalsRowFunction="sum" dataDxfId="263" totalsRowDxfId="262"/>
    <tableColumn id="4" xr3:uid="{00000000-0010-0000-0200-000004000000}" name="Março" totalsRowFunction="sum" dataDxfId="261" totalsRowDxfId="260"/>
    <tableColumn id="5" xr3:uid="{00000000-0010-0000-0200-000005000000}" name="Abr" totalsRowFunction="sum" dataDxfId="259" totalsRowDxfId="258"/>
    <tableColumn id="6" xr3:uid="{00000000-0010-0000-0200-000006000000}" name="Mai" totalsRowFunction="sum" dataDxfId="257" totalsRowDxfId="256"/>
    <tableColumn id="7" xr3:uid="{00000000-0010-0000-0200-000007000000}" name="Jun" totalsRowFunction="sum" dataDxfId="255" totalsRowDxfId="254"/>
    <tableColumn id="8" xr3:uid="{00000000-0010-0000-0200-000008000000}" name="Julho" totalsRowFunction="sum" dataDxfId="253" totalsRowDxfId="252"/>
    <tableColumn id="9" xr3:uid="{00000000-0010-0000-0200-000009000000}" name="Agosto" totalsRowFunction="sum" dataDxfId="251" totalsRowDxfId="250"/>
    <tableColumn id="10" xr3:uid="{00000000-0010-0000-0200-00000A000000}" name="Setembro" totalsRowFunction="sum" dataDxfId="249" totalsRowDxfId="248"/>
    <tableColumn id="11" xr3:uid="{00000000-0010-0000-0200-00000B000000}" name="Outubro" totalsRowFunction="sum" dataDxfId="247" totalsRowDxfId="246"/>
    <tableColumn id="12" xr3:uid="{00000000-0010-0000-0200-00000C000000}" name="Novembro" totalsRowFunction="sum" dataDxfId="245" totalsRowDxfId="244"/>
    <tableColumn id="13" xr3:uid="{00000000-0010-0000-0200-00000D000000}" name="Dezembro" totalsRowFunction="sum" dataDxfId="243" totalsRowDxfId="242"/>
    <tableColumn id="14" xr3:uid="{00000000-0010-0000-0200-00000E000000}" name="Ano" totalsRowFunction="sum" dataDxfId="241" totalsRowDxfId="240">
      <calculatedColumnFormula>SUM(Diárias[[#This Row],[Janeiro]:[Dezembro]])</calculatedColumnFormula>
    </tableColumn>
    <tableColumn id="15" xr3:uid="{00000000-0010-0000-0200-00000F000000}" name="Minigráfico" totalsRowDxfId="23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iárias e valores mensais nesta tabela. O valor anual e os totais mensais são calculados automaticamente e os minigráficos são atualizado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e" displayName="Transporte" ref="C29:Q36" totalsRowCount="1" headerRowDxfId="238" dataDxfId="237" totalsRowDxfId="236">
  <autoFilter ref="C29:Q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E" totalsRowLabel="Total" totalsRowDxfId="235"/>
    <tableColumn id="2" xr3:uid="{00000000-0010-0000-0300-000002000000}" name="Janeiro" totalsRowFunction="sum" dataDxfId="234" totalsRowDxfId="233"/>
    <tableColumn id="3" xr3:uid="{00000000-0010-0000-0300-000003000000}" name="Fevereiro" totalsRowFunction="sum" totalsRowDxfId="232"/>
    <tableColumn id="4" xr3:uid="{00000000-0010-0000-0300-000004000000}" name="Março" totalsRowFunction="sum" dataDxfId="231" totalsRowDxfId="230"/>
    <tableColumn id="5" xr3:uid="{00000000-0010-0000-0300-000005000000}" name="Abr" totalsRowFunction="sum" totalsRowDxfId="229"/>
    <tableColumn id="6" xr3:uid="{00000000-0010-0000-0300-000006000000}" name="Mai" totalsRowFunction="sum" dataDxfId="228" totalsRowDxfId="227"/>
    <tableColumn id="7" xr3:uid="{00000000-0010-0000-0300-000007000000}" name="Jun" totalsRowFunction="sum" totalsRowDxfId="226"/>
    <tableColumn id="8" xr3:uid="{00000000-0010-0000-0300-000008000000}" name="Julho" totalsRowFunction="sum" dataDxfId="225" totalsRowDxfId="224"/>
    <tableColumn id="9" xr3:uid="{00000000-0010-0000-0300-000009000000}" name="Agosto" totalsRowFunction="sum" totalsRowDxfId="223"/>
    <tableColumn id="10" xr3:uid="{00000000-0010-0000-0300-00000A000000}" name="Setembro" totalsRowFunction="sum" dataDxfId="222" totalsRowDxfId="221"/>
    <tableColumn id="11" xr3:uid="{00000000-0010-0000-0300-00000B000000}" name="Outubro" totalsRowFunction="sum" totalsRowDxfId="220"/>
    <tableColumn id="12" xr3:uid="{00000000-0010-0000-0300-00000C000000}" name="Novembro" totalsRowFunction="sum" dataDxfId="219" totalsRowDxfId="218"/>
    <tableColumn id="13" xr3:uid="{00000000-0010-0000-0300-00000D000000}" name="Dezembro" totalsRowFunction="sum" totalsRowDxfId="217"/>
    <tableColumn id="14" xr3:uid="{00000000-0010-0000-0300-00000E000000}" name="Ano" totalsRowFunction="sum" dataDxfId="216" totalsRowDxfId="215">
      <calculatedColumnFormula>SUM(Transporte[[#This Row],[Janeiro]:[Dezembro]])</calculatedColumnFormula>
    </tableColumn>
    <tableColumn id="15" xr3:uid="{00000000-0010-0000-0300-00000F000000}" name="Minigráfico" totalsRowDxfId="21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e transporte e valores mensais nesta tabela. O valor anual e os totais mensais são calculados automaticamente e os minigráficos são atualizado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retenimento" displayName="Entretenimento" ref="C38:Q43" totalsRowCount="1" headerRowDxfId="213" dataDxfId="212" totalsRowDxfId="211">
  <autoFilter ref="C38:Q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RETENIMENTO" totalsRowLabel="Total" totalsRowDxfId="210"/>
    <tableColumn id="2" xr3:uid="{00000000-0010-0000-0400-000002000000}" name="Janeiro" totalsRowFunction="sum" totalsRowDxfId="209"/>
    <tableColumn id="3" xr3:uid="{00000000-0010-0000-0400-000003000000}" name="Fevereiro" totalsRowFunction="sum" totalsRowDxfId="208"/>
    <tableColumn id="4" xr3:uid="{00000000-0010-0000-0400-000004000000}" name="Março" totalsRowFunction="sum" totalsRowDxfId="207"/>
    <tableColumn id="5" xr3:uid="{00000000-0010-0000-0400-000005000000}" name="Abr" totalsRowFunction="sum" totalsRowDxfId="206"/>
    <tableColumn id="6" xr3:uid="{00000000-0010-0000-0400-000006000000}" name="Mai" totalsRowFunction="sum" totalsRowDxfId="205"/>
    <tableColumn id="7" xr3:uid="{00000000-0010-0000-0400-000007000000}" name="Jun" totalsRowFunction="sum" totalsRowDxfId="204"/>
    <tableColumn id="8" xr3:uid="{00000000-0010-0000-0400-000008000000}" name="Julho" totalsRowFunction="sum" totalsRowDxfId="203"/>
    <tableColumn id="9" xr3:uid="{00000000-0010-0000-0400-000009000000}" name="Agosto" totalsRowFunction="sum" totalsRowDxfId="202"/>
    <tableColumn id="10" xr3:uid="{00000000-0010-0000-0400-00000A000000}" name="Setembro" totalsRowFunction="sum" totalsRowDxfId="201"/>
    <tableColumn id="11" xr3:uid="{00000000-0010-0000-0400-00000B000000}" name="Outubro" totalsRowFunction="sum" totalsRowDxfId="200"/>
    <tableColumn id="12" xr3:uid="{00000000-0010-0000-0400-00000C000000}" name="Novembro" totalsRowFunction="sum" totalsRowDxfId="199"/>
    <tableColumn id="13" xr3:uid="{00000000-0010-0000-0400-00000D000000}" name="Dezembro" totalsRowFunction="sum" totalsRowDxfId="198"/>
    <tableColumn id="14" xr3:uid="{00000000-0010-0000-0400-00000E000000}" name="Ano" totalsRowFunction="sum" totalsRowDxfId="197">
      <calculatedColumnFormula>SUM(Entretenimento[[#This Row],[Janeiro]:[Dezembro]])</calculatedColumnFormula>
    </tableColumn>
    <tableColumn id="15" xr3:uid="{00000000-0010-0000-0400-00000F000000}" name="Minigráfico" totalsRowDxfId="19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e entretenimento e valores mensais nesta tabela. O valor anual e os totais mensais são calculados automaticamente e os minigráficos são atualizado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Saúde" displayName="Saúde" ref="C45:Q53" totalsRowCount="1" headerRowDxfId="195" dataDxfId="194" totalsRowDxfId="193">
  <autoFilter ref="C45:Q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SAÚDE" totalsRowLabel="Total" totalsRowDxfId="192"/>
    <tableColumn id="2" xr3:uid="{00000000-0010-0000-0500-000002000000}" name="Janeiro" totalsRowFunction="sum" totalsRowDxfId="191"/>
    <tableColumn id="3" xr3:uid="{00000000-0010-0000-0500-000003000000}" name="Fevereiro" totalsRowFunction="sum" totalsRowDxfId="190"/>
    <tableColumn id="4" xr3:uid="{00000000-0010-0000-0500-000004000000}" name="Março" totalsRowFunction="sum" totalsRowDxfId="189"/>
    <tableColumn id="5" xr3:uid="{00000000-0010-0000-0500-000005000000}" name="Abr" totalsRowFunction="sum" totalsRowDxfId="188"/>
    <tableColumn id="6" xr3:uid="{00000000-0010-0000-0500-000006000000}" name="Mai" totalsRowFunction="sum" totalsRowDxfId="187"/>
    <tableColumn id="7" xr3:uid="{00000000-0010-0000-0500-000007000000}" name="Jun" totalsRowFunction="sum" totalsRowDxfId="186"/>
    <tableColumn id="8" xr3:uid="{00000000-0010-0000-0500-000008000000}" name="Julho" totalsRowFunction="sum" totalsRowDxfId="185"/>
    <tableColumn id="9" xr3:uid="{00000000-0010-0000-0500-000009000000}" name="Agosto" totalsRowFunction="sum" totalsRowDxfId="184"/>
    <tableColumn id="10" xr3:uid="{00000000-0010-0000-0500-00000A000000}" name="Setembro" totalsRowFunction="sum" totalsRowDxfId="183"/>
    <tableColumn id="11" xr3:uid="{00000000-0010-0000-0500-00000B000000}" name="Outubro" totalsRowFunction="sum" totalsRowDxfId="182"/>
    <tableColumn id="12" xr3:uid="{00000000-0010-0000-0500-00000C000000}" name="Novembro" totalsRowFunction="sum" totalsRowDxfId="181"/>
    <tableColumn id="13" xr3:uid="{00000000-0010-0000-0500-00000D000000}" name="Dezembro" totalsRowFunction="sum" totalsRowDxfId="180"/>
    <tableColumn id="14" xr3:uid="{00000000-0010-0000-0500-00000E000000}" name="Ano" totalsRowFunction="sum" totalsRowDxfId="179">
      <calculatedColumnFormula>SUM(Saúde[[#This Row],[Janeiro]:[Dezembro]])</calculatedColumnFormula>
    </tableColumn>
    <tableColumn id="15" xr3:uid="{00000000-0010-0000-0500-00000F000000}" name="Minigráfico" totalsRowDxfId="17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e saúde e valores mensais nesta tabela. O valor anual e os totais mensais são calculados automaticamente e os minigráficos são atualizado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Férias" displayName="Férias" ref="C55:Q62" totalsRowCount="1" headerRowDxfId="177" dataDxfId="176" totalsRowDxfId="175">
  <autoFilter ref="C55:Q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FÉRIAS" totalsRowLabel="Total" totalsRowDxfId="174"/>
    <tableColumn id="2" xr3:uid="{00000000-0010-0000-0600-000002000000}" name="Janeiro" totalsRowFunction="sum" totalsRowDxfId="173"/>
    <tableColumn id="3" xr3:uid="{00000000-0010-0000-0600-000003000000}" name="Fevereiro" totalsRowFunction="sum" totalsRowDxfId="172"/>
    <tableColumn id="4" xr3:uid="{00000000-0010-0000-0600-000004000000}" name="Março" totalsRowFunction="sum" totalsRowDxfId="171"/>
    <tableColumn id="5" xr3:uid="{00000000-0010-0000-0600-000005000000}" name="Abr" totalsRowFunction="sum" totalsRowDxfId="170"/>
    <tableColumn id="6" xr3:uid="{00000000-0010-0000-0600-000006000000}" name="Mai" totalsRowFunction="sum" totalsRowDxfId="169"/>
    <tableColumn id="7" xr3:uid="{00000000-0010-0000-0600-000007000000}" name="Jun" totalsRowFunction="sum" totalsRowDxfId="168"/>
    <tableColumn id="8" xr3:uid="{00000000-0010-0000-0600-000008000000}" name="Julho" totalsRowFunction="sum" totalsRowDxfId="167"/>
    <tableColumn id="9" xr3:uid="{00000000-0010-0000-0600-000009000000}" name="Agosto" totalsRowFunction="sum" totalsRowDxfId="166"/>
    <tableColumn id="10" xr3:uid="{00000000-0010-0000-0600-00000A000000}" name="Setembro" totalsRowFunction="sum" totalsRowDxfId="165"/>
    <tableColumn id="11" xr3:uid="{00000000-0010-0000-0600-00000B000000}" name="Outubro" totalsRowFunction="sum" totalsRowDxfId="164"/>
    <tableColumn id="12" xr3:uid="{00000000-0010-0000-0600-00000C000000}" name="Novembro" totalsRowFunction="sum" totalsRowDxfId="163"/>
    <tableColumn id="13" xr3:uid="{00000000-0010-0000-0600-00000D000000}" name="Dezembro" totalsRowFunction="sum" totalsRowDxfId="162"/>
    <tableColumn id="14" xr3:uid="{00000000-0010-0000-0600-00000E000000}" name="Ano" totalsRowFunction="sum" totalsRowDxfId="161">
      <calculatedColumnFormula>SUM(Férias[[#This Row],[Janeiro]:[Dezembro]])</calculatedColumnFormula>
    </tableColumn>
    <tableColumn id="15" xr3:uid="{00000000-0010-0000-0600-00000F000000}" name="Minigráfico" totalsRowDxfId="16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e férias e valores mensais nesta tabela. O valor anual e os totais mensais são calculados automaticamente e os minigráficos são atualizado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Lazer" displayName="Lazer" ref="C64:Q69" totalsRowCount="1" headerRowDxfId="159" dataDxfId="158" totalsRowDxfId="157">
  <autoFilter ref="C64:Q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LAZER" totalsRowLabel="Total" dataDxfId="156" totalsRowDxfId="155"/>
    <tableColumn id="2" xr3:uid="{00000000-0010-0000-0700-000002000000}" name="Janeiro" totalsRowFunction="sum" dataDxfId="154" totalsRowDxfId="153"/>
    <tableColumn id="3" xr3:uid="{00000000-0010-0000-0700-000003000000}" name="Fevereiro" totalsRowFunction="sum" dataDxfId="152" totalsRowDxfId="151"/>
    <tableColumn id="4" xr3:uid="{00000000-0010-0000-0700-000004000000}" name="Março" totalsRowFunction="sum" dataDxfId="150" totalsRowDxfId="149"/>
    <tableColumn id="5" xr3:uid="{00000000-0010-0000-0700-000005000000}" name="Abr" totalsRowFunction="sum" dataDxfId="148" totalsRowDxfId="147"/>
    <tableColumn id="6" xr3:uid="{00000000-0010-0000-0700-000006000000}" name="Mai" totalsRowFunction="sum" dataDxfId="146" totalsRowDxfId="145"/>
    <tableColumn id="7" xr3:uid="{00000000-0010-0000-0700-000007000000}" name="Jun" totalsRowFunction="sum" dataDxfId="144" totalsRowDxfId="143"/>
    <tableColumn id="8" xr3:uid="{00000000-0010-0000-0700-000008000000}" name="Julho" totalsRowFunction="sum" dataDxfId="142" totalsRowDxfId="141"/>
    <tableColumn id="9" xr3:uid="{00000000-0010-0000-0700-000009000000}" name="Agosto" totalsRowFunction="sum" dataDxfId="140" totalsRowDxfId="139"/>
    <tableColumn id="10" xr3:uid="{00000000-0010-0000-0700-00000A000000}" name="Setembro" totalsRowFunction="sum" dataDxfId="138" totalsRowDxfId="137"/>
    <tableColumn id="11" xr3:uid="{00000000-0010-0000-0700-00000B000000}" name="Outubro" totalsRowFunction="sum" dataDxfId="136" totalsRowDxfId="135"/>
    <tableColumn id="12" xr3:uid="{00000000-0010-0000-0700-00000C000000}" name="Novembro" totalsRowFunction="sum" dataDxfId="134" totalsRowDxfId="133"/>
    <tableColumn id="13" xr3:uid="{00000000-0010-0000-0700-00000D000000}" name="Dezembro" totalsRowFunction="sum" dataDxfId="132" totalsRowDxfId="131"/>
    <tableColumn id="14" xr3:uid="{00000000-0010-0000-0700-00000E000000}" name="Ano" totalsRowFunction="sum" dataDxfId="130" totalsRowDxfId="129">
      <calculatedColumnFormula>SUM(Lazer[[#This Row],[Janeiro]:[Dezembro]])</calculatedColumnFormula>
    </tableColumn>
    <tableColumn id="15" xr3:uid="{00000000-0010-0000-0700-00000F000000}" name="Minigráfico" dataDxfId="128" totalsRowDxfId="12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despesas de lazer e valores mensais nesta tabela. O valor anual e os totais mensais são calculados automaticamente e os minigráficos são atualizado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MensalidadesEAssinaturas" displayName="MensalidadesEAssinaturas" ref="C71:Q79" totalsRowCount="1" headerRowDxfId="126" dataDxfId="125" totalsRowDxfId="124">
  <autoFilter ref="C71:Q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MENSALIDADES/ASSINATURAS" totalsRowLabel="Total" dataDxfId="123" totalsRowDxfId="122"/>
    <tableColumn id="2" xr3:uid="{00000000-0010-0000-0800-000002000000}" name="Janeiro" totalsRowFunction="sum" dataDxfId="121" totalsRowDxfId="120"/>
    <tableColumn id="3" xr3:uid="{00000000-0010-0000-0800-000003000000}" name="Fevereiro" totalsRowFunction="sum" dataDxfId="119" totalsRowDxfId="118"/>
    <tableColumn id="4" xr3:uid="{00000000-0010-0000-0800-000004000000}" name="Março" totalsRowFunction="sum" totalsRowDxfId="117"/>
    <tableColumn id="5" xr3:uid="{00000000-0010-0000-0800-000005000000}" name="Abr" totalsRowFunction="sum" dataDxfId="116" totalsRowDxfId="115"/>
    <tableColumn id="6" xr3:uid="{00000000-0010-0000-0800-000006000000}" name="Mai" totalsRowFunction="sum" dataDxfId="114" totalsRowDxfId="113"/>
    <tableColumn id="7" xr3:uid="{00000000-0010-0000-0800-000007000000}" name="Jun" totalsRowFunction="sum" dataDxfId="112" totalsRowDxfId="111"/>
    <tableColumn id="8" xr3:uid="{00000000-0010-0000-0800-000008000000}" name="Julho" totalsRowFunction="sum" dataDxfId="110" totalsRowDxfId="109"/>
    <tableColumn id="9" xr3:uid="{00000000-0010-0000-0800-000009000000}" name="Agosto" totalsRowFunction="sum" dataDxfId="108" totalsRowDxfId="107"/>
    <tableColumn id="10" xr3:uid="{00000000-0010-0000-0800-00000A000000}" name="Setembro" totalsRowFunction="sum" dataDxfId="106" totalsRowDxfId="105"/>
    <tableColumn id="11" xr3:uid="{00000000-0010-0000-0800-00000B000000}" name="Outubro" totalsRowFunction="sum" dataDxfId="104" totalsRowDxfId="103"/>
    <tableColumn id="12" xr3:uid="{00000000-0010-0000-0800-00000C000000}" name="Novembro" totalsRowFunction="sum" dataDxfId="102" totalsRowDxfId="101"/>
    <tableColumn id="13" xr3:uid="{00000000-0010-0000-0800-00000D000000}" name="Dezembro" totalsRowFunction="sum" dataDxfId="100" totalsRowDxfId="99"/>
    <tableColumn id="14" xr3:uid="{00000000-0010-0000-0800-00000E000000}" name="Ano" totalsRowFunction="sum" dataDxfId="98" totalsRowDxfId="97">
      <calculatedColumnFormula>SUM(MensalidadesEAssinaturas[[#This Row],[Janeiro]:[Dezembro]])</calculatedColumnFormula>
    </tableColumn>
    <tableColumn id="15" xr3:uid="{00000000-0010-0000-0800-00000F000000}" name="Minigráfico" dataDxfId="96" totalsRowDxfId="9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Insira itens de mensalidades e assinaturas, e valores mensais nesta tabela. O valor anual e os totais mensais são calculados automaticamente e os minigráficos são atualizados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B1:B7"/>
  <sheetViews>
    <sheetView workbookViewId="0"/>
  </sheetViews>
  <sheetFormatPr defaultRowHeight="12.75" x14ac:dyDescent="0.2"/>
  <cols>
    <col min="1" max="1" width="2.625" customWidth="1"/>
    <col min="2" max="2" width="80.625" customWidth="1"/>
    <col min="3" max="3" width="2.625" customWidth="1"/>
  </cols>
  <sheetData>
    <row r="1" spans="2:2" ht="30" customHeight="1" x14ac:dyDescent="0.2">
      <c r="B1" s="42" t="s">
        <v>0</v>
      </c>
    </row>
    <row r="2" spans="2:2" ht="30" customHeight="1" x14ac:dyDescent="0.2">
      <c r="B2" s="43" t="s">
        <v>1</v>
      </c>
    </row>
    <row r="3" spans="2:2" ht="30" customHeight="1" x14ac:dyDescent="0.2">
      <c r="B3" s="43" t="s">
        <v>2</v>
      </c>
    </row>
    <row r="4" spans="2:2" ht="30" customHeight="1" x14ac:dyDescent="0.2">
      <c r="B4" s="43" t="s">
        <v>3</v>
      </c>
    </row>
    <row r="5" spans="2:2" ht="30" customHeight="1" x14ac:dyDescent="0.2">
      <c r="B5" s="44" t="s">
        <v>4</v>
      </c>
    </row>
    <row r="6" spans="2:2" ht="61.5" customHeight="1" x14ac:dyDescent="0.2">
      <c r="B6" s="43" t="s">
        <v>5</v>
      </c>
    </row>
    <row r="7" spans="2:2" ht="30" x14ac:dyDescent="0.2">
      <c r="B7" s="4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Q108"/>
  <sheetViews>
    <sheetView showGridLines="0" tabSelected="1" zoomScaleNormal="100" workbookViewId="0">
      <selection activeCell="T20" sqref="T20"/>
    </sheetView>
  </sheetViews>
  <sheetFormatPr defaultRowHeight="30" customHeight="1" x14ac:dyDescent="0.2"/>
  <cols>
    <col min="1" max="1" width="4.75" style="46" customWidth="1"/>
    <col min="2" max="2" width="1.875" customWidth="1"/>
    <col min="3" max="3" width="48.75" customWidth="1"/>
    <col min="4" max="16" width="12.375" style="1" customWidth="1"/>
    <col min="17" max="17" width="15.125" bestFit="1" customWidth="1"/>
    <col min="18" max="18" width="2.625" customWidth="1"/>
  </cols>
  <sheetData>
    <row r="1" spans="1:17" ht="12.75" customHeight="1" x14ac:dyDescent="0.2">
      <c r="A1" s="46" t="s">
        <v>7</v>
      </c>
    </row>
    <row r="2" spans="1:17" ht="35.25" customHeight="1" thickBot="1" x14ac:dyDescent="0.75">
      <c r="A2" s="47" t="s">
        <v>8</v>
      </c>
      <c r="B2" s="67" t="s">
        <v>24</v>
      </c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>
        <f ca="1">YEAR(TODAY())</f>
        <v>2021</v>
      </c>
    </row>
    <row r="3" spans="1:17" ht="26.25" customHeight="1" x14ac:dyDescent="0.2">
      <c r="E3" s="27"/>
    </row>
    <row r="4" spans="1:17" ht="21" customHeight="1" x14ac:dyDescent="0.2">
      <c r="A4" s="46" t="s">
        <v>9</v>
      </c>
      <c r="B4" s="14"/>
      <c r="C4" s="5" t="s">
        <v>25</v>
      </c>
      <c r="D4" s="6" t="s">
        <v>99</v>
      </c>
      <c r="E4" s="6" t="s">
        <v>101</v>
      </c>
      <c r="F4" s="6" t="s">
        <v>103</v>
      </c>
      <c r="G4" s="6" t="s">
        <v>105</v>
      </c>
      <c r="H4" s="6" t="s">
        <v>107</v>
      </c>
      <c r="I4" s="6" t="s">
        <v>110</v>
      </c>
      <c r="J4" s="6" t="s">
        <v>112</v>
      </c>
      <c r="K4" s="6" t="s">
        <v>114</v>
      </c>
      <c r="L4" s="6" t="s">
        <v>116</v>
      </c>
      <c r="M4" s="6" t="s">
        <v>118</v>
      </c>
      <c r="N4" s="6" t="s">
        <v>120</v>
      </c>
      <c r="O4" s="6" t="s">
        <v>122</v>
      </c>
      <c r="P4" s="6" t="s">
        <v>124</v>
      </c>
      <c r="Q4" s="6"/>
    </row>
    <row r="5" spans="1:17" ht="15.95" customHeight="1" x14ac:dyDescent="0.2">
      <c r="A5" s="47" t="s">
        <v>10</v>
      </c>
      <c r="B5" s="14"/>
      <c r="C5" s="7" t="s">
        <v>25</v>
      </c>
      <c r="D5" s="30" t="s">
        <v>100</v>
      </c>
      <c r="E5" s="30" t="s">
        <v>102</v>
      </c>
      <c r="F5" s="30" t="s">
        <v>104</v>
      </c>
      <c r="G5" s="30" t="s">
        <v>106</v>
      </c>
      <c r="H5" s="30" t="s">
        <v>108</v>
      </c>
      <c r="I5" s="30" t="s">
        <v>111</v>
      </c>
      <c r="J5" s="30" t="s">
        <v>113</v>
      </c>
      <c r="K5" s="30" t="s">
        <v>115</v>
      </c>
      <c r="L5" s="30" t="s">
        <v>117</v>
      </c>
      <c r="M5" s="30" t="s">
        <v>119</v>
      </c>
      <c r="N5" s="30" t="s">
        <v>121</v>
      </c>
      <c r="O5" s="30" t="s">
        <v>123</v>
      </c>
      <c r="P5" s="30" t="s">
        <v>125</v>
      </c>
      <c r="Q5" s="30" t="s">
        <v>126</v>
      </c>
    </row>
    <row r="6" spans="1:17" ht="15.95" customHeight="1" x14ac:dyDescent="0.2">
      <c r="B6" s="14"/>
      <c r="C6" s="4" t="s">
        <v>26</v>
      </c>
      <c r="D6" s="51">
        <v>2600</v>
      </c>
      <c r="E6" s="51">
        <v>2600</v>
      </c>
      <c r="F6" s="51">
        <v>2600</v>
      </c>
      <c r="G6" s="51"/>
      <c r="H6" s="51"/>
      <c r="I6" s="51"/>
      <c r="J6" s="51"/>
      <c r="K6" s="51"/>
      <c r="L6" s="51"/>
      <c r="M6" s="51"/>
      <c r="N6" s="51"/>
      <c r="O6" s="51"/>
      <c r="P6" s="51">
        <f>SUM(Receita[[#This Row],[Janeiro]:[Dezembro]])</f>
        <v>7800</v>
      </c>
      <c r="Q6" s="51"/>
    </row>
    <row r="7" spans="1:17" ht="15.95" customHeight="1" x14ac:dyDescent="0.2">
      <c r="B7" s="14"/>
      <c r="C7" s="4" t="s">
        <v>27</v>
      </c>
      <c r="D7" s="51">
        <v>649</v>
      </c>
      <c r="E7" s="51">
        <v>313</v>
      </c>
      <c r="F7" s="51">
        <v>664</v>
      </c>
      <c r="G7" s="51"/>
      <c r="H7" s="51"/>
      <c r="I7" s="51"/>
      <c r="J7" s="51"/>
      <c r="K7" s="51"/>
      <c r="L7" s="51"/>
      <c r="M7" s="51"/>
      <c r="N7" s="51"/>
      <c r="O7" s="51"/>
      <c r="P7" s="51">
        <f>SUM(Receita[[#This Row],[Janeiro]:[Dezembro]])</f>
        <v>1626</v>
      </c>
      <c r="Q7" s="52"/>
    </row>
    <row r="8" spans="1:17" ht="15.95" customHeight="1" x14ac:dyDescent="0.2">
      <c r="B8" s="14"/>
      <c r="C8" s="4" t="s">
        <v>28</v>
      </c>
      <c r="D8" s="51">
        <v>474</v>
      </c>
      <c r="E8" s="51">
        <v>643</v>
      </c>
      <c r="F8" s="51">
        <v>380</v>
      </c>
      <c r="G8" s="51"/>
      <c r="H8" s="51"/>
      <c r="I8" s="51"/>
      <c r="J8" s="51"/>
      <c r="K8" s="51"/>
      <c r="L8" s="51"/>
      <c r="M8" s="51"/>
      <c r="N8" s="51"/>
      <c r="O8" s="51"/>
      <c r="P8" s="51">
        <f>SUM(Receita[[#This Row],[Janeiro]:[Dezembro]])</f>
        <v>1497</v>
      </c>
      <c r="Q8" s="51"/>
    </row>
    <row r="9" spans="1:17" ht="21" customHeight="1" thickBot="1" x14ac:dyDescent="0.25">
      <c r="B9" s="14"/>
      <c r="C9" s="28" t="s">
        <v>29</v>
      </c>
      <c r="D9" s="53">
        <f>SUBTOTAL(109,Receita[Janeiro])</f>
        <v>3723</v>
      </c>
      <c r="E9" s="53">
        <f>SUBTOTAL(109,Receita[Fevereiro])</f>
        <v>3556</v>
      </c>
      <c r="F9" s="53">
        <f>SUBTOTAL(109,Receita[Março])</f>
        <v>3644</v>
      </c>
      <c r="G9" s="53">
        <f>SUBTOTAL(109,Receita[Abr])</f>
        <v>0</v>
      </c>
      <c r="H9" s="53">
        <f>SUBTOTAL(109,Receita[Maio])</f>
        <v>0</v>
      </c>
      <c r="I9" s="53">
        <f>SUBTOTAL(109,Receita[Jun])</f>
        <v>0</v>
      </c>
      <c r="J9" s="53">
        <f>SUBTOTAL(109,Receita[Julho])</f>
        <v>0</v>
      </c>
      <c r="K9" s="53">
        <f>SUBTOTAL(109,Receita[Agosto])</f>
        <v>0</v>
      </c>
      <c r="L9" s="53">
        <f>SUBTOTAL(109,Receita[Setembro])</f>
        <v>0</v>
      </c>
      <c r="M9" s="53">
        <f>SUBTOTAL(109,Receita[Outubro])</f>
        <v>0</v>
      </c>
      <c r="N9" s="53">
        <f>SUBTOTAL(109,Receita[Novembro])</f>
        <v>0</v>
      </c>
      <c r="O9" s="53">
        <f>SUBTOTAL(109,Receita[Dezembro])</f>
        <v>0</v>
      </c>
      <c r="P9" s="53">
        <f>SUBTOTAL(109,Receita[Ano])</f>
        <v>10923</v>
      </c>
      <c r="Q9" s="29"/>
    </row>
    <row r="10" spans="1:17" ht="24" customHeight="1" thickTop="1" x14ac:dyDescent="0.2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7" ht="21" customHeight="1" x14ac:dyDescent="0.2">
      <c r="A11" s="46" t="s">
        <v>11</v>
      </c>
      <c r="B11" s="15"/>
      <c r="C11" s="5" t="s">
        <v>30</v>
      </c>
      <c r="D11" s="6" t="s">
        <v>99</v>
      </c>
      <c r="E11" s="6" t="s">
        <v>101</v>
      </c>
      <c r="F11" s="6" t="s">
        <v>103</v>
      </c>
      <c r="G11" s="6" t="s">
        <v>105</v>
      </c>
      <c r="H11" s="6" t="s">
        <v>107</v>
      </c>
      <c r="I11" s="6" t="s">
        <v>110</v>
      </c>
      <c r="J11" s="6" t="s">
        <v>112</v>
      </c>
      <c r="K11" s="6" t="s">
        <v>114</v>
      </c>
      <c r="L11" s="6" t="s">
        <v>116</v>
      </c>
      <c r="M11" s="6" t="s">
        <v>118</v>
      </c>
      <c r="N11" s="6" t="s">
        <v>120</v>
      </c>
      <c r="O11" s="6" t="s">
        <v>122</v>
      </c>
      <c r="P11" s="6" t="s">
        <v>124</v>
      </c>
      <c r="Q11" s="6"/>
    </row>
    <row r="12" spans="1:17" ht="15.95" customHeight="1" x14ac:dyDescent="0.2">
      <c r="A12" s="46" t="s">
        <v>12</v>
      </c>
      <c r="B12" s="15"/>
      <c r="C12" s="8" t="s">
        <v>31</v>
      </c>
      <c r="D12" s="30" t="s">
        <v>100</v>
      </c>
      <c r="E12" s="30" t="s">
        <v>102</v>
      </c>
      <c r="F12" s="30" t="s">
        <v>104</v>
      </c>
      <c r="G12" s="30" t="s">
        <v>106</v>
      </c>
      <c r="H12" s="30" t="s">
        <v>109</v>
      </c>
      <c r="I12" s="30" t="s">
        <v>111</v>
      </c>
      <c r="J12" s="30" t="s">
        <v>113</v>
      </c>
      <c r="K12" s="30" t="s">
        <v>115</v>
      </c>
      <c r="L12" s="30" t="s">
        <v>117</v>
      </c>
      <c r="M12" s="30" t="s">
        <v>119</v>
      </c>
      <c r="N12" s="30" t="s">
        <v>121</v>
      </c>
      <c r="O12" s="30" t="s">
        <v>123</v>
      </c>
      <c r="P12" s="30" t="s">
        <v>125</v>
      </c>
      <c r="Q12" s="30" t="s">
        <v>126</v>
      </c>
    </row>
    <row r="13" spans="1:17" ht="15.95" customHeight="1" x14ac:dyDescent="0.2">
      <c r="B13" s="15"/>
      <c r="C13" s="3" t="s">
        <v>32</v>
      </c>
      <c r="D13" s="54">
        <v>750</v>
      </c>
      <c r="E13" s="54">
        <v>750</v>
      </c>
      <c r="F13" s="54">
        <v>750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f>SUM(Domésticas[[#This Row],[Janeiro]:[Dezembro]])</f>
        <v>2250</v>
      </c>
      <c r="Q13" s="54"/>
    </row>
    <row r="14" spans="1:17" ht="15.95" customHeight="1" x14ac:dyDescent="0.2">
      <c r="B14" s="15"/>
      <c r="C14" s="3" t="s">
        <v>33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>
        <f>SUM(Domésticas[[#This Row],[Janeiro]:[Dezembro]])</f>
        <v>0</v>
      </c>
      <c r="Q14" s="55"/>
    </row>
    <row r="15" spans="1:17" ht="15.95" customHeight="1" x14ac:dyDescent="0.2">
      <c r="B15" s="15"/>
      <c r="C15" s="3" t="s">
        <v>34</v>
      </c>
      <c r="D15" s="54"/>
      <c r="E15" s="54"/>
      <c r="F15" s="54">
        <v>75</v>
      </c>
      <c r="G15" s="54"/>
      <c r="H15" s="54"/>
      <c r="I15" s="54"/>
      <c r="J15" s="54"/>
      <c r="K15" s="54"/>
      <c r="L15" s="54"/>
      <c r="M15" s="54"/>
      <c r="N15" s="54"/>
      <c r="O15" s="54"/>
      <c r="P15" s="54">
        <f>SUM(Domésticas[[#This Row],[Janeiro]:[Dezembro]])</f>
        <v>75</v>
      </c>
      <c r="Q15" s="54"/>
    </row>
    <row r="16" spans="1:17" ht="15.95" customHeight="1" x14ac:dyDescent="0.2">
      <c r="B16" s="15"/>
      <c r="C16" s="3" t="s">
        <v>35</v>
      </c>
      <c r="D16" s="54">
        <v>35</v>
      </c>
      <c r="E16" s="54">
        <v>35</v>
      </c>
      <c r="F16" s="54">
        <v>35</v>
      </c>
      <c r="G16" s="54"/>
      <c r="H16" s="54"/>
      <c r="I16" s="54"/>
      <c r="J16" s="54"/>
      <c r="K16" s="54"/>
      <c r="L16" s="54"/>
      <c r="M16" s="54"/>
      <c r="N16" s="54"/>
      <c r="O16" s="54"/>
      <c r="P16" s="54">
        <f>SUM(Domésticas[[#This Row],[Janeiro]:[Dezembro]])</f>
        <v>105</v>
      </c>
      <c r="Q16" s="55"/>
    </row>
    <row r="17" spans="1:17" ht="15.95" customHeight="1" x14ac:dyDescent="0.2">
      <c r="B17" s="15"/>
      <c r="C17" s="3" t="s">
        <v>36</v>
      </c>
      <c r="D17" s="54">
        <v>165</v>
      </c>
      <c r="E17" s="54">
        <v>165</v>
      </c>
      <c r="F17" s="54">
        <v>165</v>
      </c>
      <c r="G17" s="54"/>
      <c r="H17" s="54"/>
      <c r="I17" s="54"/>
      <c r="J17" s="54"/>
      <c r="K17" s="54"/>
      <c r="L17" s="54"/>
      <c r="M17" s="54"/>
      <c r="N17" s="54"/>
      <c r="O17" s="54"/>
      <c r="P17" s="54">
        <f>SUM(Domésticas[[#This Row],[Janeiro]:[Dezembro]])</f>
        <v>495</v>
      </c>
      <c r="Q17" s="54"/>
    </row>
    <row r="18" spans="1:17" ht="21" customHeight="1" thickBot="1" x14ac:dyDescent="0.25">
      <c r="A18" s="48"/>
      <c r="B18" s="15"/>
      <c r="C18" s="37" t="s">
        <v>29</v>
      </c>
      <c r="D18" s="56">
        <f>SUBTOTAL(109,Domésticas[Janeiro])</f>
        <v>950</v>
      </c>
      <c r="E18" s="56">
        <f>SUBTOTAL(109,Domésticas[Fevereiro])</f>
        <v>950</v>
      </c>
      <c r="F18" s="56">
        <f>SUBTOTAL(109,Domésticas[Março])</f>
        <v>1025</v>
      </c>
      <c r="G18" s="56">
        <f>SUBTOTAL(109,Domésticas[Abr])</f>
        <v>0</v>
      </c>
      <c r="H18" s="56">
        <f>SUBTOTAL(109,Domésticas[Mai])</f>
        <v>0</v>
      </c>
      <c r="I18" s="56">
        <f>SUBTOTAL(109,Domésticas[Jun])</f>
        <v>0</v>
      </c>
      <c r="J18" s="56">
        <f>SUBTOTAL(109,Domésticas[Julho])</f>
        <v>0</v>
      </c>
      <c r="K18" s="56">
        <f>SUBTOTAL(109,Domésticas[Agosto])</f>
        <v>0</v>
      </c>
      <c r="L18" s="56">
        <f>SUBTOTAL(109,Domésticas[Setembro])</f>
        <v>0</v>
      </c>
      <c r="M18" s="56">
        <f>SUBTOTAL(109,Domésticas[Outubro])</f>
        <v>0</v>
      </c>
      <c r="N18" s="56">
        <f>SUBTOTAL(109,Domésticas[Novembro])</f>
        <v>0</v>
      </c>
      <c r="O18" s="56">
        <f>SUBTOTAL(109,Domésticas[Dezembro])</f>
        <v>0</v>
      </c>
      <c r="P18" s="56">
        <f>SUBTOTAL(109,Domésticas[Ano])</f>
        <v>2925</v>
      </c>
      <c r="Q18" s="38"/>
    </row>
    <row r="19" spans="1:17" ht="24" customHeight="1" thickTop="1" x14ac:dyDescent="0.2"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ht="15.95" customHeight="1" x14ac:dyDescent="0.2">
      <c r="A20" s="46" t="s">
        <v>13</v>
      </c>
      <c r="B20" s="22"/>
      <c r="C20" s="24" t="s">
        <v>37</v>
      </c>
      <c r="D20" s="33" t="s">
        <v>100</v>
      </c>
      <c r="E20" s="30" t="s">
        <v>102</v>
      </c>
      <c r="F20" s="33" t="s">
        <v>104</v>
      </c>
      <c r="G20" s="30" t="s">
        <v>106</v>
      </c>
      <c r="H20" s="33" t="s">
        <v>109</v>
      </c>
      <c r="I20" s="30" t="s">
        <v>111</v>
      </c>
      <c r="J20" s="33" t="s">
        <v>113</v>
      </c>
      <c r="K20" s="30" t="s">
        <v>115</v>
      </c>
      <c r="L20" s="33" t="s">
        <v>117</v>
      </c>
      <c r="M20" s="30" t="s">
        <v>119</v>
      </c>
      <c r="N20" s="33" t="s">
        <v>121</v>
      </c>
      <c r="O20" s="30" t="s">
        <v>123</v>
      </c>
      <c r="P20" s="33" t="s">
        <v>125</v>
      </c>
      <c r="Q20" s="30" t="s">
        <v>126</v>
      </c>
    </row>
    <row r="21" spans="1:17" ht="15.95" customHeight="1" x14ac:dyDescent="0.2">
      <c r="B21" s="22"/>
      <c r="C21" s="10" t="s">
        <v>38</v>
      </c>
      <c r="D21" s="57">
        <v>191</v>
      </c>
      <c r="E21" s="58">
        <v>152</v>
      </c>
      <c r="F21" s="57">
        <v>145</v>
      </c>
      <c r="G21" s="58"/>
      <c r="H21" s="57"/>
      <c r="I21" s="58"/>
      <c r="J21" s="57"/>
      <c r="K21" s="58"/>
      <c r="L21" s="57"/>
      <c r="M21" s="58"/>
      <c r="N21" s="57"/>
      <c r="O21" s="58"/>
      <c r="P21" s="57">
        <f>SUM(Diárias[[#This Row],[Janeiro]:[Dezembro]])</f>
        <v>488</v>
      </c>
      <c r="Q21" s="59"/>
    </row>
    <row r="22" spans="1:17" ht="15.95" customHeight="1" x14ac:dyDescent="0.2">
      <c r="B22" s="22"/>
      <c r="C22" s="10" t="s">
        <v>39</v>
      </c>
      <c r="D22" s="57">
        <v>200</v>
      </c>
      <c r="E22" s="58">
        <v>200</v>
      </c>
      <c r="F22" s="57">
        <v>200</v>
      </c>
      <c r="G22" s="58"/>
      <c r="H22" s="57"/>
      <c r="I22" s="58"/>
      <c r="J22" s="57"/>
      <c r="K22" s="58"/>
      <c r="L22" s="57"/>
      <c r="M22" s="58"/>
      <c r="N22" s="57"/>
      <c r="O22" s="58"/>
      <c r="P22" s="57">
        <f>SUM(Diárias[[#This Row],[Janeiro]:[Dezembro]])</f>
        <v>600</v>
      </c>
      <c r="Q22" s="58"/>
    </row>
    <row r="23" spans="1:17" ht="15.95" customHeight="1" x14ac:dyDescent="0.2">
      <c r="B23" s="22"/>
      <c r="C23" s="10" t="s">
        <v>40</v>
      </c>
      <c r="D23" s="57">
        <v>20</v>
      </c>
      <c r="E23" s="58"/>
      <c r="F23" s="57">
        <v>20</v>
      </c>
      <c r="G23" s="58"/>
      <c r="H23" s="57"/>
      <c r="I23" s="58"/>
      <c r="J23" s="57"/>
      <c r="K23" s="58"/>
      <c r="L23" s="57"/>
      <c r="M23" s="58"/>
      <c r="N23" s="57"/>
      <c r="O23" s="58"/>
      <c r="P23" s="57">
        <f>SUM(Diárias[[#This Row],[Janeiro]:[Dezembro]])</f>
        <v>40</v>
      </c>
      <c r="Q23" s="59"/>
    </row>
    <row r="24" spans="1:17" ht="15.95" customHeight="1" x14ac:dyDescent="0.2">
      <c r="B24" s="22"/>
      <c r="C24" s="10" t="s">
        <v>41</v>
      </c>
      <c r="D24" s="57">
        <v>55</v>
      </c>
      <c r="E24" s="58"/>
      <c r="F24" s="57">
        <v>56</v>
      </c>
      <c r="G24" s="58"/>
      <c r="H24" s="57"/>
      <c r="I24" s="58"/>
      <c r="J24" s="57"/>
      <c r="K24" s="58"/>
      <c r="L24" s="57"/>
      <c r="M24" s="58"/>
      <c r="N24" s="57"/>
      <c r="O24" s="58"/>
      <c r="P24" s="57">
        <f>SUM(Diárias[[#This Row],[Janeiro]:[Dezembro]])</f>
        <v>111</v>
      </c>
      <c r="Q24" s="58"/>
    </row>
    <row r="25" spans="1:17" ht="15.95" customHeight="1" x14ac:dyDescent="0.2">
      <c r="B25" s="22"/>
      <c r="C25" s="10" t="s">
        <v>42</v>
      </c>
      <c r="D25" s="57">
        <v>25</v>
      </c>
      <c r="E25" s="58">
        <v>17</v>
      </c>
      <c r="F25" s="57">
        <v>7</v>
      </c>
      <c r="G25" s="58"/>
      <c r="H25" s="57"/>
      <c r="I25" s="58"/>
      <c r="J25" s="57"/>
      <c r="K25" s="58"/>
      <c r="L25" s="57"/>
      <c r="M25" s="58"/>
      <c r="N25" s="57"/>
      <c r="O25" s="58"/>
      <c r="P25" s="57">
        <f>SUM(Diárias[[#This Row],[Janeiro]:[Dezembro]])</f>
        <v>49</v>
      </c>
      <c r="Q25" s="59"/>
    </row>
    <row r="26" spans="1:17" ht="15.95" customHeight="1" x14ac:dyDescent="0.2">
      <c r="A26" s="48"/>
      <c r="B26" s="22"/>
      <c r="C26" s="10" t="s">
        <v>43</v>
      </c>
      <c r="D26" s="57">
        <v>10</v>
      </c>
      <c r="E26" s="58">
        <v>5</v>
      </c>
      <c r="F26" s="57">
        <v>7</v>
      </c>
      <c r="G26" s="58"/>
      <c r="H26" s="57"/>
      <c r="I26" s="58"/>
      <c r="J26" s="57"/>
      <c r="K26" s="58"/>
      <c r="L26" s="57"/>
      <c r="M26" s="58"/>
      <c r="N26" s="57"/>
      <c r="O26" s="58"/>
      <c r="P26" s="57">
        <f>SUM(Diárias[[#This Row],[Janeiro]:[Dezembro]])</f>
        <v>22</v>
      </c>
      <c r="Q26" s="58"/>
    </row>
    <row r="27" spans="1:17" ht="21" customHeight="1" thickBot="1" x14ac:dyDescent="0.25">
      <c r="B27" s="22"/>
      <c r="C27" s="39" t="s">
        <v>29</v>
      </c>
      <c r="D27" s="60">
        <f>SUBTOTAL(109,Diárias[Janeiro])</f>
        <v>501</v>
      </c>
      <c r="E27" s="61">
        <f>SUBTOTAL(109,Diárias[Fevereiro])</f>
        <v>374</v>
      </c>
      <c r="F27" s="60">
        <f>SUBTOTAL(109,Diárias[Março])</f>
        <v>435</v>
      </c>
      <c r="G27" s="61">
        <f>SUBTOTAL(109,Diárias[Abr])</f>
        <v>0</v>
      </c>
      <c r="H27" s="60">
        <f>SUBTOTAL(109,Diárias[Mai])</f>
        <v>0</v>
      </c>
      <c r="I27" s="61">
        <f>SUBTOTAL(109,Diárias[Jun])</f>
        <v>0</v>
      </c>
      <c r="J27" s="60">
        <f>SUBTOTAL(109,Diárias[Julho])</f>
        <v>0</v>
      </c>
      <c r="K27" s="61">
        <f>SUBTOTAL(109,Diárias[Agosto])</f>
        <v>0</v>
      </c>
      <c r="L27" s="60">
        <f>SUBTOTAL(109,Diárias[Setembro])</f>
        <v>0</v>
      </c>
      <c r="M27" s="61">
        <f>SUBTOTAL(109,Diárias[Outubro])</f>
        <v>0</v>
      </c>
      <c r="N27" s="60">
        <f>SUBTOTAL(109,Diárias[Novembro])</f>
        <v>0</v>
      </c>
      <c r="O27" s="61">
        <f>SUBTOTAL(109,Diárias[Dezembro])</f>
        <v>0</v>
      </c>
      <c r="P27" s="60">
        <f>SUBTOTAL(109,Diárias[Ano])</f>
        <v>1310</v>
      </c>
      <c r="Q27" s="40"/>
    </row>
    <row r="28" spans="1:17" ht="20.100000000000001" customHeight="1" thickTop="1" x14ac:dyDescent="0.2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5.95" customHeight="1" x14ac:dyDescent="0.2">
      <c r="A29" s="47" t="s">
        <v>14</v>
      </c>
      <c r="B29" s="22"/>
      <c r="C29" s="9" t="s">
        <v>44</v>
      </c>
      <c r="D29" s="36" t="s">
        <v>100</v>
      </c>
      <c r="E29" s="30" t="s">
        <v>102</v>
      </c>
      <c r="F29" s="36" t="s">
        <v>104</v>
      </c>
      <c r="G29" s="30" t="s">
        <v>106</v>
      </c>
      <c r="H29" s="36" t="s">
        <v>109</v>
      </c>
      <c r="I29" s="30" t="s">
        <v>111</v>
      </c>
      <c r="J29" s="36" t="s">
        <v>113</v>
      </c>
      <c r="K29" s="30" t="s">
        <v>115</v>
      </c>
      <c r="L29" s="36" t="s">
        <v>117</v>
      </c>
      <c r="M29" s="30" t="s">
        <v>119</v>
      </c>
      <c r="N29" s="36" t="s">
        <v>121</v>
      </c>
      <c r="O29" s="30" t="s">
        <v>123</v>
      </c>
      <c r="P29" s="36" t="s">
        <v>125</v>
      </c>
      <c r="Q29" s="30" t="s">
        <v>126</v>
      </c>
    </row>
    <row r="30" spans="1:17" ht="15.95" customHeight="1" x14ac:dyDescent="0.2">
      <c r="B30" s="22"/>
      <c r="C30" s="2" t="s">
        <v>45</v>
      </c>
      <c r="D30" s="57">
        <v>195</v>
      </c>
      <c r="E30" s="62">
        <v>125</v>
      </c>
      <c r="F30" s="57">
        <v>171</v>
      </c>
      <c r="G30" s="62"/>
      <c r="H30" s="57"/>
      <c r="I30" s="62"/>
      <c r="J30" s="57"/>
      <c r="K30" s="62"/>
      <c r="L30" s="57"/>
      <c r="M30" s="62"/>
      <c r="N30" s="57"/>
      <c r="O30" s="62"/>
      <c r="P30" s="57">
        <f>SUM(Transporte[[#This Row],[Janeiro]:[Dezembro]])</f>
        <v>491</v>
      </c>
      <c r="Q30" s="59"/>
    </row>
    <row r="31" spans="1:17" ht="15.95" customHeight="1" x14ac:dyDescent="0.2">
      <c r="B31" s="22"/>
      <c r="C31" s="2" t="s">
        <v>46</v>
      </c>
      <c r="D31" s="57">
        <v>165</v>
      </c>
      <c r="E31" s="62">
        <v>165</v>
      </c>
      <c r="F31" s="57">
        <v>165</v>
      </c>
      <c r="G31" s="62"/>
      <c r="H31" s="57"/>
      <c r="I31" s="62"/>
      <c r="J31" s="57"/>
      <c r="K31" s="62"/>
      <c r="L31" s="57"/>
      <c r="M31" s="62"/>
      <c r="N31" s="57"/>
      <c r="O31" s="62"/>
      <c r="P31" s="57">
        <f>SUM(Transporte[[#This Row],[Janeiro]:[Dezembro]])</f>
        <v>495</v>
      </c>
      <c r="Q31" s="62"/>
    </row>
    <row r="32" spans="1:17" ht="15.95" customHeight="1" x14ac:dyDescent="0.2">
      <c r="B32" s="22"/>
      <c r="C32" s="2" t="s">
        <v>34</v>
      </c>
      <c r="D32" s="57"/>
      <c r="E32" s="62"/>
      <c r="F32" s="57"/>
      <c r="G32" s="62"/>
      <c r="H32" s="57"/>
      <c r="I32" s="62"/>
      <c r="J32" s="57"/>
      <c r="K32" s="62"/>
      <c r="L32" s="57"/>
      <c r="M32" s="62"/>
      <c r="N32" s="57"/>
      <c r="O32" s="62"/>
      <c r="P32" s="57">
        <f>SUM(Transporte[[#This Row],[Janeiro]:[Dezembro]])</f>
        <v>0</v>
      </c>
      <c r="Q32" s="59"/>
    </row>
    <row r="33" spans="1:17" ht="15.95" customHeight="1" x14ac:dyDescent="0.2">
      <c r="B33" s="22"/>
      <c r="C33" s="2" t="s">
        <v>47</v>
      </c>
      <c r="D33" s="57">
        <v>10</v>
      </c>
      <c r="E33" s="62"/>
      <c r="F33" s="57"/>
      <c r="G33" s="62"/>
      <c r="H33" s="57"/>
      <c r="I33" s="62"/>
      <c r="J33" s="57"/>
      <c r="K33" s="62"/>
      <c r="L33" s="57"/>
      <c r="M33" s="62"/>
      <c r="N33" s="57"/>
      <c r="O33" s="62"/>
      <c r="P33" s="57">
        <f>SUM(Transporte[[#This Row],[Janeiro]:[Dezembro]])</f>
        <v>10</v>
      </c>
      <c r="Q33" s="62"/>
    </row>
    <row r="34" spans="1:17" ht="15.95" customHeight="1" x14ac:dyDescent="0.2">
      <c r="A34" s="48"/>
      <c r="B34" s="22"/>
      <c r="C34" s="2" t="s">
        <v>48</v>
      </c>
      <c r="D34" s="57">
        <v>10</v>
      </c>
      <c r="E34" s="62">
        <v>40</v>
      </c>
      <c r="F34" s="57">
        <v>20</v>
      </c>
      <c r="G34" s="62"/>
      <c r="H34" s="57"/>
      <c r="I34" s="62"/>
      <c r="J34" s="57"/>
      <c r="K34" s="62"/>
      <c r="L34" s="57"/>
      <c r="M34" s="62"/>
      <c r="N34" s="57"/>
      <c r="O34" s="62"/>
      <c r="P34" s="57">
        <f>SUM(Transporte[[#This Row],[Janeiro]:[Dezembro]])</f>
        <v>70</v>
      </c>
      <c r="Q34" s="59"/>
    </row>
    <row r="35" spans="1:17" ht="15.95" customHeight="1" x14ac:dyDescent="0.2">
      <c r="B35" s="22"/>
      <c r="C35" s="2" t="s">
        <v>49</v>
      </c>
      <c r="D35" s="57">
        <v>20</v>
      </c>
      <c r="E35" s="62">
        <v>40</v>
      </c>
      <c r="F35" s="57">
        <v>30</v>
      </c>
      <c r="G35" s="62"/>
      <c r="H35" s="57"/>
      <c r="I35" s="62"/>
      <c r="J35" s="57"/>
      <c r="K35" s="62"/>
      <c r="L35" s="57"/>
      <c r="M35" s="62"/>
      <c r="N35" s="57"/>
      <c r="O35" s="62"/>
      <c r="P35" s="57">
        <f>SUM(Transporte[[#This Row],[Janeiro]:[Dezembro]])</f>
        <v>90</v>
      </c>
      <c r="Q35" s="62"/>
    </row>
    <row r="36" spans="1:17" ht="21" customHeight="1" thickBot="1" x14ac:dyDescent="0.25">
      <c r="B36" s="22"/>
      <c r="C36" s="39" t="s">
        <v>29</v>
      </c>
      <c r="D36" s="60">
        <f>SUBTOTAL(109,Transporte[Janeiro])</f>
        <v>400</v>
      </c>
      <c r="E36" s="61">
        <f>SUBTOTAL(109,Transporte[Fevereiro])</f>
        <v>370</v>
      </c>
      <c r="F36" s="60">
        <f>SUBTOTAL(109,Transporte[Março])</f>
        <v>386</v>
      </c>
      <c r="G36" s="61">
        <f>SUBTOTAL(109,Transporte[Abr])</f>
        <v>0</v>
      </c>
      <c r="H36" s="60">
        <f>SUBTOTAL(109,Transporte[Mai])</f>
        <v>0</v>
      </c>
      <c r="I36" s="61">
        <f>SUBTOTAL(109,Transporte[Jun])</f>
        <v>0</v>
      </c>
      <c r="J36" s="60">
        <f>SUBTOTAL(109,Transporte[Julho])</f>
        <v>0</v>
      </c>
      <c r="K36" s="61">
        <f>SUBTOTAL(109,Transporte[Agosto])</f>
        <v>0</v>
      </c>
      <c r="L36" s="60">
        <f>SUBTOTAL(109,Transporte[Setembro])</f>
        <v>0</v>
      </c>
      <c r="M36" s="61">
        <f>SUBTOTAL(109,Transporte[Outubro])</f>
        <v>0</v>
      </c>
      <c r="N36" s="60">
        <f>SUBTOTAL(109,Transporte[Novembro])</f>
        <v>0</v>
      </c>
      <c r="O36" s="61">
        <f>SUBTOTAL(109,Transporte[Dezembro])</f>
        <v>0</v>
      </c>
      <c r="P36" s="60">
        <f>SUBTOTAL(109,Transporte[Ano])</f>
        <v>1156</v>
      </c>
      <c r="Q36" s="40"/>
    </row>
    <row r="37" spans="1:17" ht="20.100000000000001" customHeight="1" thickTop="1" x14ac:dyDescent="0.2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21" customHeight="1" x14ac:dyDescent="0.2">
      <c r="A38" s="46" t="s">
        <v>15</v>
      </c>
      <c r="B38" s="23"/>
      <c r="C38" s="12" t="s">
        <v>50</v>
      </c>
      <c r="D38" s="35" t="s">
        <v>100</v>
      </c>
      <c r="E38" s="30" t="s">
        <v>102</v>
      </c>
      <c r="F38" s="35" t="s">
        <v>104</v>
      </c>
      <c r="G38" s="30" t="s">
        <v>106</v>
      </c>
      <c r="H38" s="35" t="s">
        <v>109</v>
      </c>
      <c r="I38" s="30" t="s">
        <v>111</v>
      </c>
      <c r="J38" s="35" t="s">
        <v>113</v>
      </c>
      <c r="K38" s="30" t="s">
        <v>115</v>
      </c>
      <c r="L38" s="35" t="s">
        <v>117</v>
      </c>
      <c r="M38" s="30" t="s">
        <v>119</v>
      </c>
      <c r="N38" s="35" t="s">
        <v>121</v>
      </c>
      <c r="O38" s="30" t="s">
        <v>123</v>
      </c>
      <c r="P38" s="35" t="s">
        <v>125</v>
      </c>
      <c r="Q38" s="30" t="s">
        <v>126</v>
      </c>
    </row>
    <row r="39" spans="1:17" ht="15.95" customHeight="1" x14ac:dyDescent="0.2">
      <c r="B39" s="23"/>
      <c r="C39" s="2" t="s">
        <v>51</v>
      </c>
      <c r="D39" s="63">
        <v>85</v>
      </c>
      <c r="E39" s="62">
        <v>85</v>
      </c>
      <c r="F39" s="63">
        <v>85</v>
      </c>
      <c r="G39" s="62"/>
      <c r="H39" s="63"/>
      <c r="I39" s="62"/>
      <c r="J39" s="63"/>
      <c r="K39" s="62"/>
      <c r="L39" s="63"/>
      <c r="M39" s="62"/>
      <c r="N39" s="63"/>
      <c r="O39" s="62"/>
      <c r="P39" s="63">
        <f>SUM(Entretenimento[[#This Row],[Janeiro]:[Dezembro]])</f>
        <v>255</v>
      </c>
      <c r="Q39" s="59"/>
    </row>
    <row r="40" spans="1:17" ht="15.95" customHeight="1" x14ac:dyDescent="0.2">
      <c r="A40" s="48"/>
      <c r="B40" s="23"/>
      <c r="C40" s="2" t="s">
        <v>52</v>
      </c>
      <c r="D40" s="63">
        <v>7</v>
      </c>
      <c r="E40" s="62">
        <v>8</v>
      </c>
      <c r="F40" s="63">
        <v>9</v>
      </c>
      <c r="G40" s="62"/>
      <c r="H40" s="63"/>
      <c r="I40" s="62"/>
      <c r="J40" s="63"/>
      <c r="K40" s="62"/>
      <c r="L40" s="63"/>
      <c r="M40" s="62"/>
      <c r="N40" s="63"/>
      <c r="O40" s="62"/>
      <c r="P40" s="63">
        <f>SUM(Entretenimento[[#This Row],[Janeiro]:[Dezembro]])</f>
        <v>24</v>
      </c>
      <c r="Q40" s="62"/>
    </row>
    <row r="41" spans="1:17" ht="15.95" customHeight="1" x14ac:dyDescent="0.2">
      <c r="B41" s="23"/>
      <c r="C41" s="2" t="s">
        <v>53</v>
      </c>
      <c r="D41" s="63">
        <v>9</v>
      </c>
      <c r="E41" s="62">
        <v>5</v>
      </c>
      <c r="F41" s="63">
        <v>9</v>
      </c>
      <c r="G41" s="62"/>
      <c r="H41" s="63"/>
      <c r="I41" s="62"/>
      <c r="J41" s="63"/>
      <c r="K41" s="62"/>
      <c r="L41" s="63"/>
      <c r="M41" s="62"/>
      <c r="N41" s="63"/>
      <c r="O41" s="62"/>
      <c r="P41" s="63">
        <f>SUM(Entretenimento[[#This Row],[Janeiro]:[Dezembro]])</f>
        <v>23</v>
      </c>
      <c r="Q41" s="59"/>
    </row>
    <row r="42" spans="1:17" ht="15.95" customHeight="1" x14ac:dyDescent="0.2">
      <c r="B42" s="23"/>
      <c r="C42" s="2" t="s">
        <v>54</v>
      </c>
      <c r="D42" s="63">
        <v>5</v>
      </c>
      <c r="E42" s="62">
        <v>5</v>
      </c>
      <c r="F42" s="63">
        <v>7</v>
      </c>
      <c r="G42" s="62"/>
      <c r="H42" s="63"/>
      <c r="I42" s="62"/>
      <c r="J42" s="63"/>
      <c r="K42" s="62"/>
      <c r="L42" s="63"/>
      <c r="M42" s="62"/>
      <c r="N42" s="63"/>
      <c r="O42" s="62"/>
      <c r="P42" s="63">
        <f>SUM(Entretenimento[[#This Row],[Janeiro]:[Dezembro]])</f>
        <v>17</v>
      </c>
      <c r="Q42" s="62"/>
    </row>
    <row r="43" spans="1:17" ht="21" customHeight="1" thickBot="1" x14ac:dyDescent="0.25">
      <c r="C43" s="41" t="s">
        <v>29</v>
      </c>
      <c r="D43" s="64">
        <f>SUBTOTAL(109,Entretenimento[Janeiro])</f>
        <v>106</v>
      </c>
      <c r="E43" s="61">
        <f>SUBTOTAL(109,Entretenimento[Fevereiro])</f>
        <v>103</v>
      </c>
      <c r="F43" s="64">
        <f>SUBTOTAL(109,Entretenimento[Março])</f>
        <v>110</v>
      </c>
      <c r="G43" s="61">
        <f>SUBTOTAL(109,Entretenimento[Abr])</f>
        <v>0</v>
      </c>
      <c r="H43" s="64">
        <f>SUBTOTAL(109,Entretenimento[Mai])</f>
        <v>0</v>
      </c>
      <c r="I43" s="61">
        <f>SUBTOTAL(109,Entretenimento[Jun])</f>
        <v>0</v>
      </c>
      <c r="J43" s="64">
        <f>SUBTOTAL(109,Entretenimento[Julho])</f>
        <v>0</v>
      </c>
      <c r="K43" s="61">
        <f>SUBTOTAL(109,Entretenimento[Agosto])</f>
        <v>0</v>
      </c>
      <c r="L43" s="64">
        <f>SUBTOTAL(109,Entretenimento[Setembro])</f>
        <v>0</v>
      </c>
      <c r="M43" s="61">
        <f>SUBTOTAL(109,Entretenimento[Outubro])</f>
        <v>0</v>
      </c>
      <c r="N43" s="64">
        <f>SUBTOTAL(109,Entretenimento[Novembro])</f>
        <v>0</v>
      </c>
      <c r="O43" s="61">
        <f>SUBTOTAL(109,Entretenimento[Dezembro])</f>
        <v>0</v>
      </c>
      <c r="P43" s="64">
        <f>SUBTOTAL(109,Entretenimento[Ano])</f>
        <v>319</v>
      </c>
      <c r="Q43" s="40"/>
    </row>
    <row r="44" spans="1:17" ht="20.100000000000001" customHeight="1" thickTop="1" x14ac:dyDescent="0.2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21" customHeight="1" x14ac:dyDescent="0.2">
      <c r="A45" s="46" t="s">
        <v>16</v>
      </c>
      <c r="B45" s="23"/>
      <c r="C45" s="12" t="s">
        <v>55</v>
      </c>
      <c r="D45" s="35" t="s">
        <v>100</v>
      </c>
      <c r="E45" s="30" t="s">
        <v>102</v>
      </c>
      <c r="F45" s="35" t="s">
        <v>104</v>
      </c>
      <c r="G45" s="30" t="s">
        <v>106</v>
      </c>
      <c r="H45" s="35" t="s">
        <v>109</v>
      </c>
      <c r="I45" s="30" t="s">
        <v>111</v>
      </c>
      <c r="J45" s="35" t="s">
        <v>113</v>
      </c>
      <c r="K45" s="30" t="s">
        <v>115</v>
      </c>
      <c r="L45" s="35" t="s">
        <v>117</v>
      </c>
      <c r="M45" s="30" t="s">
        <v>119</v>
      </c>
      <c r="N45" s="35" t="s">
        <v>121</v>
      </c>
      <c r="O45" s="30" t="s">
        <v>123</v>
      </c>
      <c r="P45" s="35" t="s">
        <v>125</v>
      </c>
      <c r="Q45" s="30" t="s">
        <v>126</v>
      </c>
    </row>
    <row r="46" spans="1:17" ht="15.95" customHeight="1" x14ac:dyDescent="0.2">
      <c r="B46" s="23"/>
      <c r="C46" s="2" t="s">
        <v>56</v>
      </c>
      <c r="D46" s="63">
        <v>50</v>
      </c>
      <c r="E46" s="62">
        <v>50</v>
      </c>
      <c r="F46" s="63">
        <v>50</v>
      </c>
      <c r="G46" s="62"/>
      <c r="H46" s="63"/>
      <c r="I46" s="62"/>
      <c r="J46" s="63"/>
      <c r="K46" s="62"/>
      <c r="L46" s="63"/>
      <c r="M46" s="62"/>
      <c r="N46" s="63"/>
      <c r="O46" s="62"/>
      <c r="P46" s="63">
        <f>SUM(Saúde[[#This Row],[Janeiro]:[Dezembro]])</f>
        <v>150</v>
      </c>
      <c r="Q46" s="62"/>
    </row>
    <row r="47" spans="1:17" ht="15.95" customHeight="1" x14ac:dyDescent="0.2">
      <c r="B47" s="23"/>
      <c r="C47" s="2" t="s">
        <v>46</v>
      </c>
      <c r="D47" s="63">
        <v>225</v>
      </c>
      <c r="E47" s="62">
        <v>225</v>
      </c>
      <c r="F47" s="63">
        <v>225</v>
      </c>
      <c r="G47" s="62"/>
      <c r="H47" s="63"/>
      <c r="I47" s="62"/>
      <c r="J47" s="63"/>
      <c r="K47" s="62"/>
      <c r="L47" s="63"/>
      <c r="M47" s="62"/>
      <c r="N47" s="63"/>
      <c r="O47" s="62"/>
      <c r="P47" s="63">
        <f>SUM(Saúde[[#This Row],[Janeiro]:[Dezembro]])</f>
        <v>675</v>
      </c>
      <c r="Q47" s="59"/>
    </row>
    <row r="48" spans="1:17" ht="15.95" customHeight="1" x14ac:dyDescent="0.2">
      <c r="B48" s="23"/>
      <c r="C48" s="2" t="s">
        <v>57</v>
      </c>
      <c r="D48" s="63">
        <v>100</v>
      </c>
      <c r="E48" s="62">
        <v>100</v>
      </c>
      <c r="F48" s="63">
        <v>100</v>
      </c>
      <c r="G48" s="62"/>
      <c r="H48" s="63"/>
      <c r="I48" s="62"/>
      <c r="J48" s="63"/>
      <c r="K48" s="62"/>
      <c r="L48" s="63"/>
      <c r="M48" s="62"/>
      <c r="N48" s="63"/>
      <c r="O48" s="62"/>
      <c r="P48" s="63">
        <f>SUM(Saúde[[#This Row],[Janeiro]:[Dezembro]])</f>
        <v>300</v>
      </c>
      <c r="Q48" s="62"/>
    </row>
    <row r="49" spans="1:17" ht="15.95" customHeight="1" x14ac:dyDescent="0.2">
      <c r="A49" s="48"/>
      <c r="C49" s="25" t="s">
        <v>58</v>
      </c>
      <c r="D49" s="63">
        <v>6</v>
      </c>
      <c r="E49" s="62">
        <v>2</v>
      </c>
      <c r="F49" s="63">
        <v>9</v>
      </c>
      <c r="G49" s="62"/>
      <c r="H49" s="63"/>
      <c r="I49" s="62"/>
      <c r="J49" s="63"/>
      <c r="K49" s="62"/>
      <c r="L49" s="63"/>
      <c r="M49" s="62"/>
      <c r="N49" s="63"/>
      <c r="O49" s="62"/>
      <c r="P49" s="63">
        <f>SUM(Saúde[[#This Row],[Janeiro]:[Dezembro]])</f>
        <v>17</v>
      </c>
      <c r="Q49" s="59"/>
    </row>
    <row r="50" spans="1:17" ht="15.95" customHeight="1" x14ac:dyDescent="0.2">
      <c r="B50" s="23"/>
      <c r="C50" s="25" t="s">
        <v>59</v>
      </c>
      <c r="D50" s="63">
        <v>20</v>
      </c>
      <c r="E50" s="62"/>
      <c r="F50" s="63">
        <v>41</v>
      </c>
      <c r="G50" s="62"/>
      <c r="H50" s="63"/>
      <c r="I50" s="62"/>
      <c r="J50" s="63"/>
      <c r="K50" s="62"/>
      <c r="L50" s="63"/>
      <c r="M50" s="62"/>
      <c r="N50" s="63"/>
      <c r="O50" s="62"/>
      <c r="P50" s="63">
        <f>SUM(Saúde[[#This Row],[Janeiro]:[Dezembro]])</f>
        <v>61</v>
      </c>
      <c r="Q50" s="62"/>
    </row>
    <row r="51" spans="1:17" ht="15.95" customHeight="1" x14ac:dyDescent="0.2">
      <c r="B51" s="23"/>
      <c r="C51" s="2" t="s">
        <v>60</v>
      </c>
      <c r="D51" s="63">
        <v>4</v>
      </c>
      <c r="E51" s="62"/>
      <c r="F51" s="63">
        <v>25</v>
      </c>
      <c r="G51" s="62"/>
      <c r="H51" s="63"/>
      <c r="I51" s="62"/>
      <c r="J51" s="63"/>
      <c r="K51" s="62"/>
      <c r="L51" s="63"/>
      <c r="M51" s="62"/>
      <c r="N51" s="63"/>
      <c r="O51" s="62"/>
      <c r="P51" s="63">
        <f>SUM(Saúde[[#This Row],[Janeiro]:[Dezembro]])</f>
        <v>29</v>
      </c>
      <c r="Q51" s="59"/>
    </row>
    <row r="52" spans="1:17" ht="15.95" customHeight="1" x14ac:dyDescent="0.2">
      <c r="B52" s="23"/>
      <c r="C52" s="2" t="s">
        <v>61</v>
      </c>
      <c r="D52" s="63">
        <v>55</v>
      </c>
      <c r="E52" s="62">
        <v>55</v>
      </c>
      <c r="F52" s="63">
        <v>55</v>
      </c>
      <c r="G52" s="62"/>
      <c r="H52" s="63"/>
      <c r="I52" s="62"/>
      <c r="J52" s="63"/>
      <c r="K52" s="62"/>
      <c r="L52" s="63"/>
      <c r="M52" s="62"/>
      <c r="N52" s="63"/>
      <c r="O52" s="62"/>
      <c r="P52" s="63">
        <f>SUM(Saúde[[#This Row],[Janeiro]:[Dezembro]])</f>
        <v>165</v>
      </c>
      <c r="Q52" s="62"/>
    </row>
    <row r="53" spans="1:17" ht="21" customHeight="1" thickBot="1" x14ac:dyDescent="0.25">
      <c r="B53" s="23"/>
      <c r="C53" s="41" t="s">
        <v>29</v>
      </c>
      <c r="D53" s="64">
        <f>SUBTOTAL(109,Saúde[Janeiro])</f>
        <v>460</v>
      </c>
      <c r="E53" s="61">
        <f>SUBTOTAL(109,Saúde[Fevereiro])</f>
        <v>432</v>
      </c>
      <c r="F53" s="64">
        <f>SUBTOTAL(109,Saúde[Março])</f>
        <v>505</v>
      </c>
      <c r="G53" s="61">
        <f>SUBTOTAL(109,Saúde[Abr])</f>
        <v>0</v>
      </c>
      <c r="H53" s="64">
        <f>SUBTOTAL(109,Saúde[Mai])</f>
        <v>0</v>
      </c>
      <c r="I53" s="61">
        <f>SUBTOTAL(109,Saúde[Jun])</f>
        <v>0</v>
      </c>
      <c r="J53" s="64">
        <f>SUBTOTAL(109,Saúde[Julho])</f>
        <v>0</v>
      </c>
      <c r="K53" s="61">
        <f>SUBTOTAL(109,Saúde[Agosto])</f>
        <v>0</v>
      </c>
      <c r="L53" s="64">
        <f>SUBTOTAL(109,Saúde[Setembro])</f>
        <v>0</v>
      </c>
      <c r="M53" s="61">
        <f>SUBTOTAL(109,Saúde[Outubro])</f>
        <v>0</v>
      </c>
      <c r="N53" s="64">
        <f>SUBTOTAL(109,Saúde[Novembro])</f>
        <v>0</v>
      </c>
      <c r="O53" s="61">
        <f>SUBTOTAL(109,Saúde[Dezembro])</f>
        <v>0</v>
      </c>
      <c r="P53" s="64">
        <f>SUBTOTAL(109,Saúde[Ano])</f>
        <v>1397</v>
      </c>
      <c r="Q53" s="40"/>
    </row>
    <row r="54" spans="1:17" ht="20.100000000000001" customHeight="1" thickTop="1" x14ac:dyDescent="0.2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21" customHeight="1" x14ac:dyDescent="0.2">
      <c r="A55" s="46" t="s">
        <v>17</v>
      </c>
      <c r="B55" s="22"/>
      <c r="C55" s="9" t="s">
        <v>62</v>
      </c>
      <c r="D55" s="34" t="s">
        <v>100</v>
      </c>
      <c r="E55" s="30" t="s">
        <v>102</v>
      </c>
      <c r="F55" s="34" t="s">
        <v>104</v>
      </c>
      <c r="G55" s="30" t="s">
        <v>106</v>
      </c>
      <c r="H55" s="34" t="s">
        <v>109</v>
      </c>
      <c r="I55" s="30" t="s">
        <v>111</v>
      </c>
      <c r="J55" s="34" t="s">
        <v>113</v>
      </c>
      <c r="K55" s="30" t="s">
        <v>115</v>
      </c>
      <c r="L55" s="34" t="s">
        <v>117</v>
      </c>
      <c r="M55" s="30" t="s">
        <v>119</v>
      </c>
      <c r="N55" s="34" t="s">
        <v>121</v>
      </c>
      <c r="O55" s="30" t="s">
        <v>123</v>
      </c>
      <c r="P55" s="34" t="s">
        <v>125</v>
      </c>
      <c r="Q55" s="30" t="s">
        <v>126</v>
      </c>
    </row>
    <row r="56" spans="1:17" ht="15.95" customHeight="1" x14ac:dyDescent="0.2">
      <c r="B56" s="22"/>
      <c r="C56" s="2" t="s">
        <v>63</v>
      </c>
      <c r="D56" s="57"/>
      <c r="E56" s="62">
        <v>485</v>
      </c>
      <c r="F56" s="57"/>
      <c r="G56" s="62"/>
      <c r="H56" s="57"/>
      <c r="I56" s="62"/>
      <c r="J56" s="57"/>
      <c r="K56" s="62"/>
      <c r="L56" s="57"/>
      <c r="M56" s="62"/>
      <c r="N56" s="57"/>
      <c r="O56" s="62"/>
      <c r="P56" s="57">
        <f>SUM(Férias[[#This Row],[Janeiro]:[Dezembro]])</f>
        <v>485</v>
      </c>
      <c r="Q56" s="59"/>
    </row>
    <row r="57" spans="1:17" ht="15.95" customHeight="1" x14ac:dyDescent="0.2">
      <c r="C57" s="26" t="s">
        <v>64</v>
      </c>
      <c r="D57" s="57"/>
      <c r="E57" s="62">
        <v>245</v>
      </c>
      <c r="F57" s="57"/>
      <c r="G57" s="62"/>
      <c r="H57" s="57"/>
      <c r="I57" s="62"/>
      <c r="J57" s="57"/>
      <c r="K57" s="62"/>
      <c r="L57" s="57"/>
      <c r="M57" s="62"/>
      <c r="N57" s="57"/>
      <c r="O57" s="62"/>
      <c r="P57" s="57">
        <f>SUM(Férias[[#This Row],[Janeiro]:[Dezembro]])</f>
        <v>245</v>
      </c>
      <c r="Q57" s="62"/>
    </row>
    <row r="58" spans="1:17" ht="15.95" customHeight="1" x14ac:dyDescent="0.2">
      <c r="B58" s="22"/>
      <c r="C58" s="2" t="s">
        <v>65</v>
      </c>
      <c r="D58" s="57"/>
      <c r="E58" s="62">
        <v>95</v>
      </c>
      <c r="F58" s="57"/>
      <c r="G58" s="62"/>
      <c r="H58" s="57"/>
      <c r="I58" s="62"/>
      <c r="J58" s="57"/>
      <c r="K58" s="62"/>
      <c r="L58" s="57"/>
      <c r="M58" s="62"/>
      <c r="N58" s="57"/>
      <c r="O58" s="62"/>
      <c r="P58" s="57">
        <f>SUM(Férias[[#This Row],[Janeiro]:[Dezembro]])</f>
        <v>95</v>
      </c>
      <c r="Q58" s="59"/>
    </row>
    <row r="59" spans="1:17" ht="15.95" customHeight="1" x14ac:dyDescent="0.2">
      <c r="B59" s="22"/>
      <c r="C59" s="2" t="s">
        <v>66</v>
      </c>
      <c r="D59" s="57"/>
      <c r="E59" s="62"/>
      <c r="F59" s="57"/>
      <c r="G59" s="62"/>
      <c r="H59" s="57"/>
      <c r="I59" s="62"/>
      <c r="J59" s="57"/>
      <c r="K59" s="62"/>
      <c r="L59" s="57"/>
      <c r="M59" s="62"/>
      <c r="N59" s="57"/>
      <c r="O59" s="62"/>
      <c r="P59" s="57">
        <f>SUM(Férias[[#This Row],[Janeiro]:[Dezembro]])</f>
        <v>0</v>
      </c>
      <c r="Q59" s="62"/>
    </row>
    <row r="60" spans="1:17" ht="15.95" customHeight="1" x14ac:dyDescent="0.2">
      <c r="B60" s="22"/>
      <c r="C60" s="2" t="s">
        <v>67</v>
      </c>
      <c r="D60" s="57"/>
      <c r="E60" s="62"/>
      <c r="F60" s="57"/>
      <c r="G60" s="62"/>
      <c r="H60" s="57"/>
      <c r="I60" s="62"/>
      <c r="J60" s="57"/>
      <c r="K60" s="62"/>
      <c r="L60" s="57"/>
      <c r="M60" s="62"/>
      <c r="N60" s="57"/>
      <c r="O60" s="62"/>
      <c r="P60" s="57">
        <f>SUM(Férias[[#This Row],[Janeiro]:[Dezembro]])</f>
        <v>0</v>
      </c>
      <c r="Q60" s="59"/>
    </row>
    <row r="61" spans="1:17" ht="15.95" customHeight="1" x14ac:dyDescent="0.2">
      <c r="B61" s="22"/>
      <c r="C61" s="2" t="s">
        <v>68</v>
      </c>
      <c r="D61" s="57"/>
      <c r="E61" s="62">
        <v>85</v>
      </c>
      <c r="F61" s="57"/>
      <c r="G61" s="62"/>
      <c r="H61" s="57"/>
      <c r="I61" s="62"/>
      <c r="J61" s="57"/>
      <c r="K61" s="62"/>
      <c r="L61" s="57"/>
      <c r="M61" s="62"/>
      <c r="N61" s="57"/>
      <c r="O61" s="62"/>
      <c r="P61" s="57">
        <f>SUM(Férias[[#This Row],[Janeiro]:[Dezembro]])</f>
        <v>85</v>
      </c>
      <c r="Q61" s="62"/>
    </row>
    <row r="62" spans="1:17" ht="21" customHeight="1" thickBot="1" x14ac:dyDescent="0.25">
      <c r="B62" s="22"/>
      <c r="C62" s="39" t="s">
        <v>29</v>
      </c>
      <c r="D62" s="60">
        <f>SUBTOTAL(109,Férias[Janeiro])</f>
        <v>0</v>
      </c>
      <c r="E62" s="61">
        <f>SUBTOTAL(109,Férias[Fevereiro])</f>
        <v>910</v>
      </c>
      <c r="F62" s="60">
        <f>SUBTOTAL(109,Férias[Março])</f>
        <v>0</v>
      </c>
      <c r="G62" s="61">
        <f>SUBTOTAL(109,Férias[Abr])</f>
        <v>0</v>
      </c>
      <c r="H62" s="60">
        <f>SUBTOTAL(109,Férias[Mai])</f>
        <v>0</v>
      </c>
      <c r="I62" s="61">
        <f>SUBTOTAL(109,Férias[Jun])</f>
        <v>0</v>
      </c>
      <c r="J62" s="60">
        <f>SUBTOTAL(109,Férias[Julho])</f>
        <v>0</v>
      </c>
      <c r="K62" s="61">
        <f>SUBTOTAL(109,Férias[Agosto])</f>
        <v>0</v>
      </c>
      <c r="L62" s="60">
        <f>SUBTOTAL(109,Férias[Setembro])</f>
        <v>0</v>
      </c>
      <c r="M62" s="61">
        <f>SUBTOTAL(109,Férias[Outubro])</f>
        <v>0</v>
      </c>
      <c r="N62" s="60">
        <f>SUBTOTAL(109,Férias[Novembro])</f>
        <v>0</v>
      </c>
      <c r="O62" s="61">
        <f>SUBTOTAL(109,Férias[Dezembro])</f>
        <v>0</v>
      </c>
      <c r="P62" s="60">
        <f>SUBTOTAL(109,Férias[Ano])</f>
        <v>910</v>
      </c>
      <c r="Q62" s="40"/>
    </row>
    <row r="63" spans="1:17" ht="20.100000000000001" customHeight="1" thickTop="1" x14ac:dyDescent="0.2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21" customHeight="1" x14ac:dyDescent="0.2">
      <c r="A64" s="46" t="s">
        <v>18</v>
      </c>
      <c r="B64" s="22"/>
      <c r="C64" s="11" t="s">
        <v>69</v>
      </c>
      <c r="D64" s="50" t="s">
        <v>100</v>
      </c>
      <c r="E64" s="31" t="s">
        <v>102</v>
      </c>
      <c r="F64" s="50" t="s">
        <v>104</v>
      </c>
      <c r="G64" s="31" t="s">
        <v>106</v>
      </c>
      <c r="H64" s="50" t="s">
        <v>109</v>
      </c>
      <c r="I64" s="31" t="s">
        <v>111</v>
      </c>
      <c r="J64" s="50" t="s">
        <v>113</v>
      </c>
      <c r="K64" s="31" t="s">
        <v>115</v>
      </c>
      <c r="L64" s="50" t="s">
        <v>117</v>
      </c>
      <c r="M64" s="31" t="s">
        <v>119</v>
      </c>
      <c r="N64" s="50" t="s">
        <v>121</v>
      </c>
      <c r="O64" s="31" t="s">
        <v>123</v>
      </c>
      <c r="P64" s="50" t="s">
        <v>125</v>
      </c>
      <c r="Q64" s="31" t="s">
        <v>126</v>
      </c>
    </row>
    <row r="65" spans="1:17" ht="15.95" customHeight="1" x14ac:dyDescent="0.2">
      <c r="B65" s="22"/>
      <c r="C65" s="2" t="s">
        <v>70</v>
      </c>
      <c r="D65" s="57"/>
      <c r="E65" s="62"/>
      <c r="F65" s="57"/>
      <c r="G65" s="62"/>
      <c r="H65" s="57"/>
      <c r="I65" s="62"/>
      <c r="J65" s="57"/>
      <c r="K65" s="62"/>
      <c r="L65" s="57"/>
      <c r="M65" s="62"/>
      <c r="N65" s="57"/>
      <c r="O65" s="62"/>
      <c r="P65" s="57">
        <f>SUM(Lazer[[#This Row],[Janeiro]:[Dezembro]])</f>
        <v>0</v>
      </c>
      <c r="Q65" s="59"/>
    </row>
    <row r="66" spans="1:17" ht="15.95" customHeight="1" x14ac:dyDescent="0.2">
      <c r="B66" s="22"/>
      <c r="C66" s="2" t="s">
        <v>71</v>
      </c>
      <c r="D66" s="57"/>
      <c r="E66" s="62"/>
      <c r="F66" s="57"/>
      <c r="G66" s="62"/>
      <c r="H66" s="57"/>
      <c r="I66" s="62"/>
      <c r="J66" s="57"/>
      <c r="K66" s="62"/>
      <c r="L66" s="57"/>
      <c r="M66" s="62"/>
      <c r="N66" s="57"/>
      <c r="O66" s="62"/>
      <c r="P66" s="57">
        <f>SUM(Lazer[[#This Row],[Janeiro]:[Dezembro]])</f>
        <v>0</v>
      </c>
      <c r="Q66" s="62"/>
    </row>
    <row r="67" spans="1:17" ht="15.95" customHeight="1" x14ac:dyDescent="0.2">
      <c r="B67" s="22"/>
      <c r="C67" s="2" t="s">
        <v>72</v>
      </c>
      <c r="D67" s="57"/>
      <c r="E67" s="62"/>
      <c r="F67" s="57"/>
      <c r="G67" s="62"/>
      <c r="H67" s="57"/>
      <c r="I67" s="62"/>
      <c r="J67" s="57"/>
      <c r="K67" s="62"/>
      <c r="L67" s="57"/>
      <c r="M67" s="62"/>
      <c r="N67" s="57"/>
      <c r="O67" s="62"/>
      <c r="P67" s="57">
        <f>SUM(Lazer[[#This Row],[Janeiro]:[Dezembro]])</f>
        <v>0</v>
      </c>
      <c r="Q67" s="59"/>
    </row>
    <row r="68" spans="1:17" ht="15.95" customHeight="1" x14ac:dyDescent="0.2">
      <c r="B68" s="22"/>
      <c r="C68" s="2" t="s">
        <v>73</v>
      </c>
      <c r="D68" s="57">
        <v>39</v>
      </c>
      <c r="E68" s="62">
        <v>33</v>
      </c>
      <c r="F68" s="57">
        <v>40</v>
      </c>
      <c r="G68" s="62"/>
      <c r="H68" s="57"/>
      <c r="I68" s="62"/>
      <c r="J68" s="57"/>
      <c r="K68" s="62"/>
      <c r="L68" s="57"/>
      <c r="M68" s="62"/>
      <c r="N68" s="57"/>
      <c r="O68" s="62"/>
      <c r="P68" s="57">
        <f>SUM(Lazer[[#This Row],[Janeiro]:[Dezembro]])</f>
        <v>112</v>
      </c>
      <c r="Q68" s="62"/>
    </row>
    <row r="69" spans="1:17" ht="21" customHeight="1" thickBot="1" x14ac:dyDescent="0.25">
      <c r="B69" s="22"/>
      <c r="C69" s="39" t="s">
        <v>29</v>
      </c>
      <c r="D69" s="60">
        <f>SUBTOTAL(109,Lazer[Janeiro])</f>
        <v>39</v>
      </c>
      <c r="E69" s="61">
        <f>SUBTOTAL(109,Lazer[Fevereiro])</f>
        <v>33</v>
      </c>
      <c r="F69" s="60">
        <f>SUBTOTAL(109,Lazer[Março])</f>
        <v>40</v>
      </c>
      <c r="G69" s="61">
        <f>SUBTOTAL(109,Lazer[Abr])</f>
        <v>0</v>
      </c>
      <c r="H69" s="60">
        <f>SUBTOTAL(109,Lazer[Mai])</f>
        <v>0</v>
      </c>
      <c r="I69" s="61">
        <f>SUBTOTAL(109,Lazer[Jun])</f>
        <v>0</v>
      </c>
      <c r="J69" s="60">
        <f>SUBTOTAL(109,Lazer[Julho])</f>
        <v>0</v>
      </c>
      <c r="K69" s="61">
        <f>SUBTOTAL(109,Lazer[Agosto])</f>
        <v>0</v>
      </c>
      <c r="L69" s="60">
        <f>SUBTOTAL(109,Lazer[Setembro])</f>
        <v>0</v>
      </c>
      <c r="M69" s="61">
        <f>SUBTOTAL(109,Lazer[Outubro])</f>
        <v>0</v>
      </c>
      <c r="N69" s="60">
        <f>SUBTOTAL(109,Lazer[Novembro])</f>
        <v>0</v>
      </c>
      <c r="O69" s="61">
        <f>SUBTOTAL(109,Lazer[Dezembro])</f>
        <v>0</v>
      </c>
      <c r="P69" s="60">
        <f>SUBTOTAL(109,Lazer[Ano])</f>
        <v>112</v>
      </c>
      <c r="Q69" s="40"/>
    </row>
    <row r="70" spans="1:17" ht="20.100000000000001" customHeight="1" thickTop="1" x14ac:dyDescent="0.2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21" customHeight="1" x14ac:dyDescent="0.2">
      <c r="A71" s="46" t="s">
        <v>19</v>
      </c>
      <c r="B71" s="23"/>
      <c r="C71" s="13" t="s">
        <v>74</v>
      </c>
      <c r="D71" s="32" t="s">
        <v>100</v>
      </c>
      <c r="E71" s="31" t="s">
        <v>102</v>
      </c>
      <c r="F71" s="32" t="s">
        <v>104</v>
      </c>
      <c r="G71" s="31" t="s">
        <v>106</v>
      </c>
      <c r="H71" s="32" t="s">
        <v>109</v>
      </c>
      <c r="I71" s="31" t="s">
        <v>111</v>
      </c>
      <c r="J71" s="32" t="s">
        <v>113</v>
      </c>
      <c r="K71" s="31" t="s">
        <v>115</v>
      </c>
      <c r="L71" s="32" t="s">
        <v>117</v>
      </c>
      <c r="M71" s="31" t="s">
        <v>119</v>
      </c>
      <c r="N71" s="32" t="s">
        <v>121</v>
      </c>
      <c r="O71" s="31" t="s">
        <v>123</v>
      </c>
      <c r="P71" s="32" t="s">
        <v>125</v>
      </c>
      <c r="Q71" s="31" t="s">
        <v>126</v>
      </c>
    </row>
    <row r="72" spans="1:17" ht="15.95" customHeight="1" x14ac:dyDescent="0.2">
      <c r="C72" s="25" t="s">
        <v>75</v>
      </c>
      <c r="D72" s="63"/>
      <c r="E72" s="62"/>
      <c r="F72" s="63"/>
      <c r="G72" s="62"/>
      <c r="H72" s="63"/>
      <c r="I72" s="62"/>
      <c r="J72" s="63"/>
      <c r="K72" s="62"/>
      <c r="L72" s="63"/>
      <c r="M72" s="62"/>
      <c r="N72" s="63"/>
      <c r="O72" s="62"/>
      <c r="P72" s="63">
        <f>SUM(MensalidadesEAssinaturas[[#This Row],[Janeiro]:[Dezembro]])</f>
        <v>0</v>
      </c>
      <c r="Q72" s="62"/>
    </row>
    <row r="73" spans="1:17" ht="15.95" customHeight="1" x14ac:dyDescent="0.2">
      <c r="B73" s="23"/>
      <c r="C73" s="2" t="s">
        <v>76</v>
      </c>
      <c r="D73" s="63"/>
      <c r="E73" s="62"/>
      <c r="F73" s="63"/>
      <c r="G73" s="62"/>
      <c r="H73" s="63"/>
      <c r="I73" s="62"/>
      <c r="J73" s="63"/>
      <c r="K73" s="62"/>
      <c r="L73" s="63"/>
      <c r="M73" s="62"/>
      <c r="N73" s="63"/>
      <c r="O73" s="62"/>
      <c r="P73" s="63">
        <f>SUM(MensalidadesEAssinaturas[[#This Row],[Janeiro]:[Dezembro]])</f>
        <v>0</v>
      </c>
      <c r="Q73" s="59"/>
    </row>
    <row r="74" spans="1:17" ht="15.95" customHeight="1" x14ac:dyDescent="0.2">
      <c r="B74" s="23"/>
      <c r="C74" s="2" t="s">
        <v>77</v>
      </c>
      <c r="D74" s="63"/>
      <c r="E74" s="62"/>
      <c r="F74" s="63"/>
      <c r="G74" s="62"/>
      <c r="H74" s="63"/>
      <c r="I74" s="62"/>
      <c r="J74" s="63"/>
      <c r="K74" s="62"/>
      <c r="L74" s="63"/>
      <c r="M74" s="62"/>
      <c r="N74" s="63"/>
      <c r="O74" s="62"/>
      <c r="P74" s="63">
        <f>SUM(MensalidadesEAssinaturas[[#This Row],[Janeiro]:[Dezembro]])</f>
        <v>0</v>
      </c>
      <c r="Q74" s="62"/>
    </row>
    <row r="75" spans="1:17" ht="15.95" customHeight="1" x14ac:dyDescent="0.2">
      <c r="B75" s="23"/>
      <c r="C75" s="2" t="s">
        <v>78</v>
      </c>
      <c r="D75" s="63"/>
      <c r="E75" s="62"/>
      <c r="F75" s="63"/>
      <c r="G75" s="62"/>
      <c r="H75" s="63"/>
      <c r="I75" s="62"/>
      <c r="J75" s="63"/>
      <c r="K75" s="62"/>
      <c r="L75" s="63"/>
      <c r="M75" s="62"/>
      <c r="N75" s="63"/>
      <c r="O75" s="62"/>
      <c r="P75" s="63">
        <f>SUM(MensalidadesEAssinaturas[[#This Row],[Janeiro]:[Dezembro]])</f>
        <v>0</v>
      </c>
      <c r="Q75" s="59"/>
    </row>
    <row r="76" spans="1:17" ht="15.95" customHeight="1" x14ac:dyDescent="0.2">
      <c r="B76" s="23"/>
      <c r="C76" s="2" t="s">
        <v>79</v>
      </c>
      <c r="D76" s="63"/>
      <c r="E76" s="62"/>
      <c r="F76" s="63"/>
      <c r="G76" s="62"/>
      <c r="H76" s="63"/>
      <c r="I76" s="62"/>
      <c r="J76" s="63"/>
      <c r="K76" s="62"/>
      <c r="L76" s="63"/>
      <c r="M76" s="62"/>
      <c r="N76" s="63"/>
      <c r="O76" s="62"/>
      <c r="P76" s="63">
        <f>SUM(MensalidadesEAssinaturas[[#This Row],[Janeiro]:[Dezembro]])</f>
        <v>0</v>
      </c>
      <c r="Q76" s="62"/>
    </row>
    <row r="77" spans="1:17" ht="15.95" customHeight="1" x14ac:dyDescent="0.2">
      <c r="B77" s="23"/>
      <c r="C77" s="2" t="s">
        <v>80</v>
      </c>
      <c r="D77" s="63">
        <v>29</v>
      </c>
      <c r="E77" s="62">
        <v>18</v>
      </c>
      <c r="F77" s="63">
        <v>17</v>
      </c>
      <c r="G77" s="62"/>
      <c r="H77" s="63"/>
      <c r="I77" s="62"/>
      <c r="J77" s="63"/>
      <c r="K77" s="62"/>
      <c r="L77" s="63"/>
      <c r="M77" s="62"/>
      <c r="N77" s="63"/>
      <c r="O77" s="62"/>
      <c r="P77" s="63">
        <f>SUM(MensalidadesEAssinaturas[[#This Row],[Janeiro]:[Dezembro]])</f>
        <v>64</v>
      </c>
      <c r="Q77" s="59"/>
    </row>
    <row r="78" spans="1:17" ht="15.95" customHeight="1" x14ac:dyDescent="0.2">
      <c r="B78" s="23"/>
      <c r="C78" s="2" t="s">
        <v>81</v>
      </c>
      <c r="D78" s="63"/>
      <c r="E78" s="62"/>
      <c r="F78" s="63"/>
      <c r="G78" s="62"/>
      <c r="H78" s="63"/>
      <c r="I78" s="62"/>
      <c r="J78" s="63"/>
      <c r="K78" s="62"/>
      <c r="L78" s="63"/>
      <c r="M78" s="62"/>
      <c r="N78" s="63"/>
      <c r="O78" s="62"/>
      <c r="P78" s="63">
        <f>SUM(MensalidadesEAssinaturas[[#This Row],[Janeiro]:[Dezembro]])</f>
        <v>0</v>
      </c>
      <c r="Q78" s="62"/>
    </row>
    <row r="79" spans="1:17" ht="21" customHeight="1" thickBot="1" x14ac:dyDescent="0.25">
      <c r="B79" s="23"/>
      <c r="C79" s="41" t="s">
        <v>29</v>
      </c>
      <c r="D79" s="64">
        <f>SUBTOTAL(109,MensalidadesEAssinaturas[Janeiro])</f>
        <v>29</v>
      </c>
      <c r="E79" s="61">
        <f>SUBTOTAL(109,MensalidadesEAssinaturas[Fevereiro])</f>
        <v>18</v>
      </c>
      <c r="F79" s="64">
        <f>SUBTOTAL(109,MensalidadesEAssinaturas[Março])</f>
        <v>17</v>
      </c>
      <c r="G79" s="61">
        <f>SUBTOTAL(109,MensalidadesEAssinaturas[Abr])</f>
        <v>0</v>
      </c>
      <c r="H79" s="64">
        <f>SUBTOTAL(109,MensalidadesEAssinaturas[Mai])</f>
        <v>0</v>
      </c>
      <c r="I79" s="61">
        <f>SUBTOTAL(109,MensalidadesEAssinaturas[Jun])</f>
        <v>0</v>
      </c>
      <c r="J79" s="64">
        <f>SUBTOTAL(109,MensalidadesEAssinaturas[Julho])</f>
        <v>0</v>
      </c>
      <c r="K79" s="61">
        <f>SUBTOTAL(109,MensalidadesEAssinaturas[Agosto])</f>
        <v>0</v>
      </c>
      <c r="L79" s="64">
        <f>SUBTOTAL(109,MensalidadesEAssinaturas[Setembro])</f>
        <v>0</v>
      </c>
      <c r="M79" s="61">
        <f>SUBTOTAL(109,MensalidadesEAssinaturas[Outubro])</f>
        <v>0</v>
      </c>
      <c r="N79" s="64">
        <f>SUBTOTAL(109,MensalidadesEAssinaturas[Novembro])</f>
        <v>0</v>
      </c>
      <c r="O79" s="61">
        <f>SUBTOTAL(109,MensalidadesEAssinaturas[Dezembro])</f>
        <v>0</v>
      </c>
      <c r="P79" s="64">
        <f>SUBTOTAL(109,MensalidadesEAssinaturas[Ano])</f>
        <v>64</v>
      </c>
      <c r="Q79" s="40"/>
    </row>
    <row r="80" spans="1:17" ht="20.100000000000001" customHeight="1" thickTop="1" x14ac:dyDescent="0.2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21" customHeight="1" x14ac:dyDescent="0.2">
      <c r="A81" s="46" t="s">
        <v>20</v>
      </c>
      <c r="B81" s="23"/>
      <c r="C81" s="13" t="s">
        <v>82</v>
      </c>
      <c r="D81" s="32" t="s">
        <v>100</v>
      </c>
      <c r="E81" s="31" t="s">
        <v>102</v>
      </c>
      <c r="F81" s="32" t="s">
        <v>104</v>
      </c>
      <c r="G81" s="31" t="s">
        <v>106</v>
      </c>
      <c r="H81" s="32" t="s">
        <v>109</v>
      </c>
      <c r="I81" s="31" t="s">
        <v>111</v>
      </c>
      <c r="J81" s="32" t="s">
        <v>113</v>
      </c>
      <c r="K81" s="31" t="s">
        <v>115</v>
      </c>
      <c r="L81" s="32" t="s">
        <v>117</v>
      </c>
      <c r="M81" s="31" t="s">
        <v>119</v>
      </c>
      <c r="N81" s="32" t="s">
        <v>121</v>
      </c>
      <c r="O81" s="31" t="s">
        <v>123</v>
      </c>
      <c r="P81" s="32" t="s">
        <v>125</v>
      </c>
      <c r="Q81" s="31" t="s">
        <v>126</v>
      </c>
    </row>
    <row r="82" spans="1:17" ht="15.95" customHeight="1" x14ac:dyDescent="0.2">
      <c r="B82" s="23"/>
      <c r="C82" s="2" t="s">
        <v>83</v>
      </c>
      <c r="D82" s="63"/>
      <c r="E82" s="62"/>
      <c r="F82" s="63">
        <v>29</v>
      </c>
      <c r="G82" s="62"/>
      <c r="H82" s="63"/>
      <c r="I82" s="62"/>
      <c r="J82" s="63"/>
      <c r="K82" s="62"/>
      <c r="L82" s="63"/>
      <c r="M82" s="62"/>
      <c r="N82" s="63"/>
      <c r="O82" s="62"/>
      <c r="P82" s="63">
        <f>SUM(Pessoais[[#This Row],[Janeiro]:[Dezembro]])</f>
        <v>29</v>
      </c>
      <c r="Q82" s="62"/>
    </row>
    <row r="83" spans="1:17" ht="15.95" customHeight="1" x14ac:dyDescent="0.2">
      <c r="B83" s="23"/>
      <c r="C83" s="2" t="s">
        <v>84</v>
      </c>
      <c r="D83" s="63"/>
      <c r="E83" s="62">
        <v>35</v>
      </c>
      <c r="F83" s="63"/>
      <c r="G83" s="62"/>
      <c r="H83" s="63"/>
      <c r="I83" s="62"/>
      <c r="J83" s="63"/>
      <c r="K83" s="62"/>
      <c r="L83" s="63"/>
      <c r="M83" s="62"/>
      <c r="N83" s="63"/>
      <c r="O83" s="62"/>
      <c r="P83" s="63">
        <f>SUM(Pessoais[[#This Row],[Janeiro]:[Dezembro]])</f>
        <v>35</v>
      </c>
      <c r="Q83" s="59"/>
    </row>
    <row r="84" spans="1:17" ht="15.95" customHeight="1" x14ac:dyDescent="0.2">
      <c r="B84" s="23"/>
      <c r="C84" s="2" t="s">
        <v>85</v>
      </c>
      <c r="D84" s="63">
        <v>25</v>
      </c>
      <c r="E84" s="62">
        <v>25</v>
      </c>
      <c r="F84" s="63">
        <v>25</v>
      </c>
      <c r="G84" s="62"/>
      <c r="H84" s="63"/>
      <c r="I84" s="62"/>
      <c r="J84" s="63"/>
      <c r="K84" s="62"/>
      <c r="L84" s="63"/>
      <c r="M84" s="62"/>
      <c r="N84" s="63"/>
      <c r="O84" s="62"/>
      <c r="P84" s="63">
        <f>SUM(Pessoais[[#This Row],[Janeiro]:[Dezembro]])</f>
        <v>75</v>
      </c>
      <c r="Q84" s="62"/>
    </row>
    <row r="85" spans="1:17" ht="15.95" customHeight="1" x14ac:dyDescent="0.2">
      <c r="B85" s="23"/>
      <c r="C85" s="2" t="s">
        <v>86</v>
      </c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3"/>
      <c r="O85" s="62"/>
      <c r="P85" s="63">
        <f>SUM(Pessoais[[#This Row],[Janeiro]:[Dezembro]])</f>
        <v>0</v>
      </c>
      <c r="Q85" s="59"/>
    </row>
    <row r="86" spans="1:17" ht="15.95" customHeight="1" x14ac:dyDescent="0.2">
      <c r="B86" s="23"/>
      <c r="C86" s="2" t="s">
        <v>87</v>
      </c>
      <c r="D86" s="63"/>
      <c r="E86" s="62"/>
      <c r="F86" s="63"/>
      <c r="G86" s="62"/>
      <c r="H86" s="63"/>
      <c r="I86" s="62"/>
      <c r="J86" s="63"/>
      <c r="K86" s="62"/>
      <c r="L86" s="63"/>
      <c r="M86" s="62"/>
      <c r="N86" s="63"/>
      <c r="O86" s="62"/>
      <c r="P86" s="63">
        <f>SUM(Pessoais[[#This Row],[Janeiro]:[Dezembro]])</f>
        <v>0</v>
      </c>
      <c r="Q86" s="62"/>
    </row>
    <row r="87" spans="1:17" ht="21" customHeight="1" thickBot="1" x14ac:dyDescent="0.25">
      <c r="B87" s="23"/>
      <c r="C87" s="41" t="s">
        <v>29</v>
      </c>
      <c r="D87" s="64">
        <f>SUBTOTAL(109,Pessoais[Janeiro])</f>
        <v>25</v>
      </c>
      <c r="E87" s="61">
        <f>SUBTOTAL(109,Pessoais[Fevereiro])</f>
        <v>60</v>
      </c>
      <c r="F87" s="64">
        <f>SUBTOTAL(109,Pessoais[Março])</f>
        <v>54</v>
      </c>
      <c r="G87" s="61">
        <f>SUBTOTAL(109,Pessoais[Abr])</f>
        <v>0</v>
      </c>
      <c r="H87" s="64">
        <f>SUBTOTAL(109,Pessoais[Mai])</f>
        <v>0</v>
      </c>
      <c r="I87" s="61">
        <f>SUBTOTAL(109,Pessoais[Jun])</f>
        <v>0</v>
      </c>
      <c r="J87" s="64">
        <f>SUBTOTAL(109,Pessoais[Julho])</f>
        <v>0</v>
      </c>
      <c r="K87" s="61">
        <f>SUBTOTAL(109,Pessoais[Agosto])</f>
        <v>0</v>
      </c>
      <c r="L87" s="64">
        <f>SUBTOTAL(109,Pessoais[Setembro])</f>
        <v>0</v>
      </c>
      <c r="M87" s="61">
        <f>SUBTOTAL(109,Pessoais[Outubro])</f>
        <v>0</v>
      </c>
      <c r="N87" s="64">
        <f>SUBTOTAL(109,Pessoais[Novembro])</f>
        <v>0</v>
      </c>
      <c r="O87" s="61">
        <f>SUBTOTAL(109,Pessoais[Dezembro])</f>
        <v>0</v>
      </c>
      <c r="P87" s="64">
        <f>SUBTOTAL(109,Pessoais[Ano])</f>
        <v>139</v>
      </c>
      <c r="Q87" s="40"/>
    </row>
    <row r="88" spans="1:17" ht="20.100000000000001" customHeight="1" thickTop="1" x14ac:dyDescent="0.2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21" customHeight="1" x14ac:dyDescent="0.2">
      <c r="A89" s="46" t="s">
        <v>21</v>
      </c>
      <c r="B89" s="22"/>
      <c r="C89" s="11" t="s">
        <v>88</v>
      </c>
      <c r="D89" s="50" t="s">
        <v>100</v>
      </c>
      <c r="E89" s="31" t="s">
        <v>102</v>
      </c>
      <c r="F89" s="50" t="s">
        <v>104</v>
      </c>
      <c r="G89" s="31" t="s">
        <v>106</v>
      </c>
      <c r="H89" s="50" t="s">
        <v>109</v>
      </c>
      <c r="I89" s="31" t="s">
        <v>111</v>
      </c>
      <c r="J89" s="50" t="s">
        <v>113</v>
      </c>
      <c r="K89" s="31" t="s">
        <v>115</v>
      </c>
      <c r="L89" s="50" t="s">
        <v>117</v>
      </c>
      <c r="M89" s="31" t="s">
        <v>119</v>
      </c>
      <c r="N89" s="50" t="s">
        <v>121</v>
      </c>
      <c r="O89" s="31" t="s">
        <v>123</v>
      </c>
      <c r="P89" s="50" t="s">
        <v>125</v>
      </c>
      <c r="Q89" s="31" t="s">
        <v>126</v>
      </c>
    </row>
    <row r="90" spans="1:17" ht="15.95" customHeight="1" x14ac:dyDescent="0.2">
      <c r="B90" s="22"/>
      <c r="C90" s="2" t="s">
        <v>89</v>
      </c>
      <c r="D90" s="57">
        <v>25</v>
      </c>
      <c r="E90" s="62">
        <v>25</v>
      </c>
      <c r="F90" s="57">
        <v>25</v>
      </c>
      <c r="G90" s="62"/>
      <c r="H90" s="57"/>
      <c r="I90" s="62"/>
      <c r="J90" s="57"/>
      <c r="K90" s="62"/>
      <c r="L90" s="57"/>
      <c r="M90" s="62"/>
      <c r="N90" s="57"/>
      <c r="O90" s="62"/>
      <c r="P90" s="57">
        <f>SUM(Financeiro[[#This Row],[Janeiro]:[Dezembro]])</f>
        <v>75</v>
      </c>
      <c r="Q90" s="62"/>
    </row>
    <row r="91" spans="1:17" ht="15.95" customHeight="1" x14ac:dyDescent="0.2">
      <c r="B91" s="22"/>
      <c r="C91" s="2" t="s">
        <v>90</v>
      </c>
      <c r="D91" s="57">
        <v>45</v>
      </c>
      <c r="E91" s="62">
        <v>45</v>
      </c>
      <c r="F91" s="57">
        <v>45</v>
      </c>
      <c r="G91" s="62"/>
      <c r="H91" s="57"/>
      <c r="I91" s="62"/>
      <c r="J91" s="57"/>
      <c r="K91" s="62"/>
      <c r="L91" s="57"/>
      <c r="M91" s="62"/>
      <c r="N91" s="57"/>
      <c r="O91" s="62"/>
      <c r="P91" s="57">
        <f>SUM(Financeiro[[#This Row],[Janeiro]:[Dezembro]])</f>
        <v>135</v>
      </c>
      <c r="Q91" s="59"/>
    </row>
    <row r="92" spans="1:17" ht="15.95" customHeight="1" x14ac:dyDescent="0.2">
      <c r="B92" s="22"/>
      <c r="C92" s="2" t="s">
        <v>91</v>
      </c>
      <c r="D92" s="57">
        <v>75</v>
      </c>
      <c r="E92" s="62">
        <v>75</v>
      </c>
      <c r="F92" s="57">
        <v>75</v>
      </c>
      <c r="G92" s="62"/>
      <c r="H92" s="57"/>
      <c r="I92" s="62"/>
      <c r="J92" s="57"/>
      <c r="K92" s="62"/>
      <c r="L92" s="57"/>
      <c r="M92" s="62"/>
      <c r="N92" s="57"/>
      <c r="O92" s="62"/>
      <c r="P92" s="57">
        <f>SUM(Financeiro[[#This Row],[Janeiro]:[Dezembro]])</f>
        <v>225</v>
      </c>
      <c r="Q92" s="62"/>
    </row>
    <row r="93" spans="1:17" ht="15.95" customHeight="1" x14ac:dyDescent="0.2">
      <c r="B93" s="22"/>
      <c r="C93" s="2" t="s">
        <v>92</v>
      </c>
      <c r="D93" s="57"/>
      <c r="E93" s="62"/>
      <c r="F93" s="57"/>
      <c r="G93" s="62"/>
      <c r="H93" s="57"/>
      <c r="I93" s="62"/>
      <c r="J93" s="57"/>
      <c r="K93" s="62"/>
      <c r="L93" s="57"/>
      <c r="M93" s="62"/>
      <c r="N93" s="57"/>
      <c r="O93" s="62"/>
      <c r="P93" s="57">
        <f>SUM(Financeiro[[#This Row],[Janeiro]:[Dezembro]])</f>
        <v>0</v>
      </c>
      <c r="Q93" s="59"/>
    </row>
    <row r="94" spans="1:17" ht="15.95" customHeight="1" x14ac:dyDescent="0.2">
      <c r="B94" s="22"/>
      <c r="C94" s="2" t="s">
        <v>93</v>
      </c>
      <c r="D94" s="57">
        <v>32</v>
      </c>
      <c r="E94" s="62">
        <v>34</v>
      </c>
      <c r="F94" s="57">
        <v>1</v>
      </c>
      <c r="G94" s="62"/>
      <c r="H94" s="57"/>
      <c r="I94" s="62"/>
      <c r="J94" s="57"/>
      <c r="K94" s="62"/>
      <c r="L94" s="57"/>
      <c r="M94" s="62"/>
      <c r="N94" s="57"/>
      <c r="O94" s="62"/>
      <c r="P94" s="57">
        <f>SUM(Financeiro[[#This Row],[Janeiro]:[Dezembro]])</f>
        <v>67</v>
      </c>
      <c r="Q94" s="62"/>
    </row>
    <row r="95" spans="1:17" ht="21" customHeight="1" thickBot="1" x14ac:dyDescent="0.25">
      <c r="B95" s="22"/>
      <c r="C95" s="39" t="s">
        <v>29</v>
      </c>
      <c r="D95" s="60">
        <f>SUBTOTAL(109,Financeiro[Janeiro])</f>
        <v>177</v>
      </c>
      <c r="E95" s="61">
        <f>SUBTOTAL(109,Financeiro[Fevereiro])</f>
        <v>179</v>
      </c>
      <c r="F95" s="60">
        <f>SUBTOTAL(109,Financeiro[Março])</f>
        <v>146</v>
      </c>
      <c r="G95" s="61">
        <f>SUBTOTAL(109,Financeiro[Abr])</f>
        <v>0</v>
      </c>
      <c r="H95" s="60">
        <f>SUBTOTAL(109,Financeiro[Mai])</f>
        <v>0</v>
      </c>
      <c r="I95" s="61">
        <f>SUBTOTAL(109,Financeiro[Jun])</f>
        <v>0</v>
      </c>
      <c r="J95" s="60">
        <f>SUBTOTAL(109,Financeiro[Julho])</f>
        <v>0</v>
      </c>
      <c r="K95" s="61">
        <f>SUBTOTAL(109,Financeiro[Agosto])</f>
        <v>0</v>
      </c>
      <c r="L95" s="60">
        <f>SUBTOTAL(109,Financeiro[Setembro])</f>
        <v>0</v>
      </c>
      <c r="M95" s="61">
        <f>SUBTOTAL(109,Financeiro[Outubro])</f>
        <v>0</v>
      </c>
      <c r="N95" s="60">
        <f>SUBTOTAL(109,Financeiro[Novembro])</f>
        <v>0</v>
      </c>
      <c r="O95" s="61">
        <f>SUBTOTAL(109,Financeiro[Dezembro])</f>
        <v>0</v>
      </c>
      <c r="P95" s="60">
        <f>SUBTOTAL(109,Financeiro[Ano])</f>
        <v>502</v>
      </c>
      <c r="Q95" s="40"/>
    </row>
    <row r="96" spans="1:17" ht="20.100000000000001" customHeight="1" thickTop="1" x14ac:dyDescent="0.2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21" customHeight="1" x14ac:dyDescent="0.2">
      <c r="A97" s="46" t="s">
        <v>22</v>
      </c>
      <c r="B97" s="22"/>
      <c r="C97" s="11" t="s">
        <v>94</v>
      </c>
      <c r="D97" s="50" t="s">
        <v>100</v>
      </c>
      <c r="E97" s="30" t="s">
        <v>102</v>
      </c>
      <c r="F97" s="50" t="s">
        <v>104</v>
      </c>
      <c r="G97" s="30" t="s">
        <v>106</v>
      </c>
      <c r="H97" s="50" t="s">
        <v>108</v>
      </c>
      <c r="I97" s="31" t="s">
        <v>111</v>
      </c>
      <c r="J97" s="50" t="s">
        <v>113</v>
      </c>
      <c r="K97" s="31" t="s">
        <v>115</v>
      </c>
      <c r="L97" s="50" t="s">
        <v>117</v>
      </c>
      <c r="M97" s="31" t="s">
        <v>119</v>
      </c>
      <c r="N97" s="50" t="s">
        <v>121</v>
      </c>
      <c r="O97" s="31" t="s">
        <v>123</v>
      </c>
      <c r="P97" s="50" t="s">
        <v>125</v>
      </c>
      <c r="Q97" s="31" t="s">
        <v>126</v>
      </c>
    </row>
    <row r="98" spans="1:17" ht="15.95" customHeight="1" x14ac:dyDescent="0.2">
      <c r="B98" s="22"/>
      <c r="C98" s="2" t="s">
        <v>95</v>
      </c>
      <c r="D98" s="57"/>
      <c r="E98" s="62"/>
      <c r="F98" s="57"/>
      <c r="G98" s="62"/>
      <c r="H98" s="57"/>
      <c r="I98" s="62"/>
      <c r="J98" s="57"/>
      <c r="K98" s="62"/>
      <c r="L98" s="57"/>
      <c r="M98" s="62"/>
      <c r="N98" s="57"/>
      <c r="O98" s="62"/>
      <c r="P98" s="57">
        <f>SUM(Diversos[[#This Row],[Janeiro]:[Dezembro]])</f>
        <v>0</v>
      </c>
      <c r="Q98" s="62"/>
    </row>
    <row r="99" spans="1:17" ht="15.95" customHeight="1" x14ac:dyDescent="0.2">
      <c r="B99" s="22"/>
      <c r="C99" s="2" t="s">
        <v>95</v>
      </c>
      <c r="D99" s="57"/>
      <c r="E99" s="62"/>
      <c r="F99" s="57"/>
      <c r="G99" s="62"/>
      <c r="H99" s="57"/>
      <c r="I99" s="62"/>
      <c r="J99" s="57"/>
      <c r="K99" s="62"/>
      <c r="L99" s="57"/>
      <c r="M99" s="62"/>
      <c r="N99" s="57"/>
      <c r="O99" s="62"/>
      <c r="P99" s="57">
        <f>SUM(Diversos[[#This Row],[Janeiro]:[Dezembro]])</f>
        <v>0</v>
      </c>
      <c r="Q99" s="59"/>
    </row>
    <row r="100" spans="1:17" ht="15.95" customHeight="1" x14ac:dyDescent="0.2">
      <c r="B100" s="22"/>
      <c r="C100" s="2" t="s">
        <v>95</v>
      </c>
      <c r="D100" s="57"/>
      <c r="E100" s="62"/>
      <c r="F100" s="57"/>
      <c r="G100" s="62"/>
      <c r="H100" s="57"/>
      <c r="I100" s="62"/>
      <c r="J100" s="57"/>
      <c r="K100" s="62"/>
      <c r="L100" s="57"/>
      <c r="M100" s="62"/>
      <c r="N100" s="57"/>
      <c r="O100" s="62"/>
      <c r="P100" s="57">
        <f>SUM(Diversos[[#This Row],[Janeiro]:[Dezembro]])</f>
        <v>0</v>
      </c>
      <c r="Q100" s="62"/>
    </row>
    <row r="101" spans="1:17" ht="15.95" customHeight="1" x14ac:dyDescent="0.2">
      <c r="B101" s="22"/>
      <c r="C101" s="2" t="s">
        <v>95</v>
      </c>
      <c r="D101" s="57"/>
      <c r="E101" s="62"/>
      <c r="F101" s="57"/>
      <c r="G101" s="62"/>
      <c r="H101" s="57"/>
      <c r="I101" s="62"/>
      <c r="J101" s="57"/>
      <c r="K101" s="62"/>
      <c r="L101" s="57"/>
      <c r="M101" s="62"/>
      <c r="N101" s="57"/>
      <c r="O101" s="62"/>
      <c r="P101" s="57">
        <f>SUM(Diversos[[#This Row],[Janeiro]:[Dezembro]])</f>
        <v>0</v>
      </c>
      <c r="Q101" s="59"/>
    </row>
    <row r="102" spans="1:17" ht="15.95" customHeight="1" x14ac:dyDescent="0.2">
      <c r="B102" s="22"/>
      <c r="C102" s="2" t="s">
        <v>95</v>
      </c>
      <c r="D102" s="57"/>
      <c r="E102" s="62"/>
      <c r="F102" s="57"/>
      <c r="G102" s="62"/>
      <c r="H102" s="57"/>
      <c r="I102" s="62"/>
      <c r="J102" s="57"/>
      <c r="K102" s="62"/>
      <c r="L102" s="57"/>
      <c r="M102" s="62"/>
      <c r="N102" s="57"/>
      <c r="O102" s="62"/>
      <c r="P102" s="57">
        <f>SUM(Diversos[[#This Row],[Janeiro]:[Dezembro]])</f>
        <v>0</v>
      </c>
      <c r="Q102" s="62"/>
    </row>
    <row r="103" spans="1:17" ht="21" customHeight="1" thickBot="1" x14ac:dyDescent="0.25">
      <c r="C103" s="39" t="s">
        <v>29</v>
      </c>
      <c r="D103" s="60">
        <f>SUBTOTAL(109,Diversos[Janeiro])</f>
        <v>0</v>
      </c>
      <c r="E103" s="61">
        <f>SUBTOTAL(109,Diversos[Fevereiro])</f>
        <v>0</v>
      </c>
      <c r="F103" s="60">
        <f>SUBTOTAL(109,Diversos[Março])</f>
        <v>0</v>
      </c>
      <c r="G103" s="61">
        <f>SUBTOTAL(109,Diversos[Abr])</f>
        <v>0</v>
      </c>
      <c r="H103" s="60">
        <f>SUBTOTAL(109,Diversos[Maio])</f>
        <v>0</v>
      </c>
      <c r="I103" s="61">
        <f>SUBTOTAL(109,Diversos[Jun])</f>
        <v>0</v>
      </c>
      <c r="J103" s="60">
        <f>SUBTOTAL(109,Diversos[Julho])</f>
        <v>0</v>
      </c>
      <c r="K103" s="61">
        <f>SUBTOTAL(109,Diversos[Agosto])</f>
        <v>0</v>
      </c>
      <c r="L103" s="60">
        <f>SUBTOTAL(109,Diversos[Setembro])</f>
        <v>0</v>
      </c>
      <c r="M103" s="61">
        <f>SUBTOTAL(109,Diversos[Outubro])</f>
        <v>0</v>
      </c>
      <c r="N103" s="60">
        <f>SUBTOTAL(109,Diversos[Novembro])</f>
        <v>0</v>
      </c>
      <c r="O103" s="61">
        <f>SUBTOTAL(109,Diversos[Dezembro])</f>
        <v>0</v>
      </c>
      <c r="P103" s="60">
        <f>SUBTOTAL(109,Diversos[Ano])</f>
        <v>0</v>
      </c>
      <c r="Q103" s="40"/>
    </row>
    <row r="104" spans="1:17" ht="20.100000000000001" customHeight="1" thickTop="1" x14ac:dyDescent="0.2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21" customHeight="1" x14ac:dyDescent="0.2">
      <c r="A105" s="46" t="s">
        <v>23</v>
      </c>
      <c r="B105" s="14"/>
      <c r="C105" s="16" t="s">
        <v>96</v>
      </c>
      <c r="D105" s="20" t="s">
        <v>99</v>
      </c>
      <c r="E105" s="17" t="s">
        <v>101</v>
      </c>
      <c r="F105" s="20" t="s">
        <v>103</v>
      </c>
      <c r="G105" s="17" t="s">
        <v>105</v>
      </c>
      <c r="H105" s="20" t="s">
        <v>107</v>
      </c>
      <c r="I105" s="17" t="s">
        <v>110</v>
      </c>
      <c r="J105" s="20" t="s">
        <v>112</v>
      </c>
      <c r="K105" s="17" t="s">
        <v>114</v>
      </c>
      <c r="L105" s="20" t="s">
        <v>116</v>
      </c>
      <c r="M105" s="17" t="s">
        <v>118</v>
      </c>
      <c r="N105" s="20" t="s">
        <v>120</v>
      </c>
      <c r="O105" s="17" t="s">
        <v>122</v>
      </c>
      <c r="P105" s="20" t="s">
        <v>124</v>
      </c>
      <c r="Q105" s="49" t="s">
        <v>127</v>
      </c>
    </row>
    <row r="106" spans="1:17" ht="15.95" customHeight="1" x14ac:dyDescent="0.2">
      <c r="B106" s="14"/>
      <c r="C106" s="18" t="s">
        <v>97</v>
      </c>
      <c r="D106" s="65">
        <f>SUM(Diversos[[#Totals],[Janeiro]],Financeiro[[#Totals],[Janeiro]],Pessoais[[#Totals],[Janeiro]],MensalidadesEAssinaturas[[#Totals],[Janeiro]],Lazer[[#Totals],[Janeiro]],Férias[[#Totals],[Janeiro]],Saúde[[#Totals],[Janeiro]],Entretenimento[[#Totals],[Janeiro]],Transporte[[#Totals],[Janeiro]],Diárias[[#Totals],[Janeiro]],Domésticas[[#Totals],[Janeiro]])</f>
        <v>2687</v>
      </c>
      <c r="E106" s="66">
        <f>SUM(Diversos[[#Totals],[Fevereiro]],Financeiro[[#Totals],[Fevereiro]],Pessoais[[#Totals],[Fevereiro]],MensalidadesEAssinaturas[[#Totals],[Fevereiro]],Lazer[[#Totals],[Fevereiro]],Férias[[#Totals],[Fevereiro]],Saúde[[#Totals],[Fevereiro]],Entretenimento[[#Totals],[Fevereiro]],Transporte[[#Totals],[Fevereiro]],Diárias[[#Totals],[Fevereiro]],Domésticas[[#Totals],[Fevereiro]])</f>
        <v>3429</v>
      </c>
      <c r="F106" s="65">
        <f>SUM(Diversos[[#Totals],[Março]],Financeiro[[#Totals],[Março]],Pessoais[[#Totals],[Março]],MensalidadesEAssinaturas[[#Totals],[Março]],Lazer[[#Totals],[Março]],Férias[[#Totals],[Março]],Saúde[[#Totals],[Março]],Entretenimento[[#Totals],[Março]],Transporte[[#Totals],[Março]],Diárias[[#Totals],[Março]],Domésticas[[#Totals],[Março]])</f>
        <v>2718</v>
      </c>
      <c r="G106" s="66">
        <f>SUM(Diversos[[#Totals],[Abr]],Financeiro[[#Totals],[Abr]],Pessoais[[#Totals],[Abr]],MensalidadesEAssinaturas[[#Totals],[Abr]],Lazer[[#Totals],[Abr]],Férias[[#Totals],[Abr]],Saúde[[#Totals],[Abr]],Entretenimento[[#Totals],[Abr]],Transporte[[#Totals],[Abr]],Diárias[[#Totals],[Abr]],Domésticas[[#Totals],[Abr]])</f>
        <v>0</v>
      </c>
      <c r="H106" s="65">
        <f>SUM(Diversos[[#Totals],[Maio]],Financeiro[[#Totals],[Mai]],Pessoais[[#Totals],[Mai]],MensalidadesEAssinaturas[[#Totals],[Mai]],Lazer[[#Totals],[Mai]],Férias[[#Totals],[Mai]],Saúde[[#Totals],[Mai]],Entretenimento[[#Totals],[Mai]],Transporte[[#Totals],[Mai]],Diárias[[#Totals],[Mai]],Domésticas[[#Totals],[Mai]])</f>
        <v>0</v>
      </c>
      <c r="I106" s="66">
        <f>SUM(Diversos[[#Totals],[Jun]],Financeiro[[#Totals],[Jun]],Pessoais[[#Totals],[Jun]],MensalidadesEAssinaturas[[#Totals],[Jun]],Lazer[[#Totals],[Jun]],Férias[[#Totals],[Jun]],Saúde[[#Totals],[Jun]],Entretenimento[[#Totals],[Jun]],Transporte[[#Totals],[Jun]],Diárias[[#Totals],[Jun]],Domésticas[[#Totals],[Jun]])</f>
        <v>0</v>
      </c>
      <c r="J106" s="65">
        <f>SUM(Diversos[[#Totals],[Julho]],Financeiro[[#Totals],[Julho]],Pessoais[[#Totals],[Julho]],MensalidadesEAssinaturas[[#Totals],[Julho]],Lazer[[#Totals],[Julho]],Férias[[#Totals],[Julho]],Saúde[[#Totals],[Julho]],Entretenimento[[#Totals],[Julho]],Transporte[[#Totals],[Julho]],Diárias[[#Totals],[Julho]],Domésticas[[#Totals],[Julho]])</f>
        <v>0</v>
      </c>
      <c r="K106" s="66">
        <f>SUM(Diversos[[#Totals],[Agosto]],Financeiro[[#Totals],[Agosto]],Pessoais[[#Totals],[Agosto]],MensalidadesEAssinaturas[[#Totals],[Agosto]],Lazer[[#Totals],[Agosto]],Férias[[#Totals],[Agosto]],Saúde[[#Totals],[Agosto]],Entretenimento[[#Totals],[Agosto]],Transporte[[#Totals],[Agosto]],Diárias[[#Totals],[Agosto]],Domésticas[[#Totals],[Agosto]])</f>
        <v>0</v>
      </c>
      <c r="L106" s="65">
        <f>SUM(Diversos[[#Totals],[Setembro]],Financeiro[[#Totals],[Setembro]],Pessoais[[#Totals],[Setembro]],MensalidadesEAssinaturas[[#Totals],[Setembro]],Lazer[[#Totals],[Setembro]],Férias[[#Totals],[Setembro]],Saúde[[#Totals],[Setembro]],Entretenimento[[#Totals],[Setembro]],Transporte[[#Totals],[Setembro]],Diárias[[#Totals],[Setembro]],Domésticas[[#Totals],[Setembro]])</f>
        <v>0</v>
      </c>
      <c r="M106" s="66">
        <f>SUM(Diversos[[#Totals],[Outubro]],Financeiro[[#Totals],[Outubro]],Pessoais[[#Totals],[Outubro]],MensalidadesEAssinaturas[[#Totals],[Outubro]],Lazer[[#Totals],[Outubro]],Férias[[#Totals],[Outubro]],Saúde[[#Totals],[Outubro]],Entretenimento[[#Totals],[Outubro]],Transporte[[#Totals],[Outubro]],Diárias[[#Totals],[Outubro]],Domésticas[[#Totals],[Outubro]])</f>
        <v>0</v>
      </c>
      <c r="N106" s="65">
        <f>SUM(Diversos[[#Totals],[Novembro]],Financeiro[[#Totals],[Novembro]],Pessoais[[#Totals],[Novembro]],MensalidadesEAssinaturas[[#Totals],[Novembro]],Lazer[[#Totals],[Novembro]],Férias[[#Totals],[Novembro]],Saúde[[#Totals],[Novembro]],Entretenimento[[#Totals],[Novembro]],Transporte[[#Totals],[Novembro]],Diárias[[#Totals],[Novembro]],Domésticas[[#Totals],[Novembro]])</f>
        <v>0</v>
      </c>
      <c r="O106" s="66">
        <f>SUM(Diversos[[#Totals],[Dezembro]],Financeiro[[#Totals],[Dezembro]],Pessoais[[#Totals],[Dezembro]],MensalidadesEAssinaturas[[#Totals],[Dezembro]],Lazer[[#Totals],[Dezembro]],Férias[[#Totals],[Dezembro]],Saúde[[#Totals],[Dezembro]],Entretenimento[[#Totals],[Dezembro]],Transporte[[#Totals],[Dezembro]],Diárias[[#Totals],[Dezembro]],Domésticas[[#Totals],[Dezembro]])</f>
        <v>0</v>
      </c>
      <c r="P106" s="65">
        <f>SUM(Diversos[[#Totals],[Ano]],Financeiro[[#Totals],[Ano]],Pessoais[[#Totals],[Ano]],MensalidadesEAssinaturas[[#Totals],[Ano]],Lazer[[#Totals],[Ano]],Férias[[#Totals],[Ano]],Saúde[[#Totals],[Ano]],Entretenimento[[#Totals],[Ano]],Transporte[[#Totals],[Ano]],Diárias[[#Totals],[Ano]],Domésticas[[#Totals],[Ano]])</f>
        <v>8834</v>
      </c>
      <c r="Q106" s="66"/>
    </row>
    <row r="107" spans="1:17" ht="15.95" customHeight="1" x14ac:dyDescent="0.2">
      <c r="B107" s="14"/>
      <c r="C107" s="18" t="s">
        <v>98</v>
      </c>
      <c r="D107" s="65">
        <f>Receita[[#Totals],[Janeiro]]-D106</f>
        <v>1036</v>
      </c>
      <c r="E107" s="66">
        <f>Receita[[#Totals],[Fevereiro]]-E106</f>
        <v>127</v>
      </c>
      <c r="F107" s="65">
        <f>Receita[[#Totals],[Março]]-F106</f>
        <v>926</v>
      </c>
      <c r="G107" s="66">
        <f>Receita[[#Totals],[Abr]]-G106</f>
        <v>0</v>
      </c>
      <c r="H107" s="65">
        <f>Receita[[#Totals],[Maio]]-H106</f>
        <v>0</v>
      </c>
      <c r="I107" s="66">
        <f>Receita[[#Totals],[Jun]]-I106</f>
        <v>0</v>
      </c>
      <c r="J107" s="65">
        <f>Receita[[#Totals],[Julho]]-J106</f>
        <v>0</v>
      </c>
      <c r="K107" s="66">
        <f>Receita[[#Totals],[Agosto]]-K106</f>
        <v>0</v>
      </c>
      <c r="L107" s="65">
        <f>Receita[[#Totals],[Setembro]]-L106</f>
        <v>0</v>
      </c>
      <c r="M107" s="66">
        <f>Receita[[#Totals],[Outubro]]-M106</f>
        <v>0</v>
      </c>
      <c r="N107" s="65">
        <f>Receita[[#Totals],[Novembro]]-N106</f>
        <v>0</v>
      </c>
      <c r="O107" s="66">
        <f>Receita[[#Totals],[Dezembro]]-O106</f>
        <v>0</v>
      </c>
      <c r="P107" s="65">
        <f>Receita[[#Totals],[Ano]]-P106</f>
        <v>2089</v>
      </c>
      <c r="Q107" s="66"/>
    </row>
    <row r="108" spans="1:17" ht="8.1" customHeight="1" x14ac:dyDescent="0.2">
      <c r="B108" s="14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21"/>
      <c r="O108" s="19"/>
      <c r="P108" s="21"/>
      <c r="Q108" s="19"/>
    </row>
  </sheetData>
  <mergeCells count="12">
    <mergeCell ref="B2:D2"/>
    <mergeCell ref="E2:P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332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D106:E106 F106:P106" calculatedColumn="1"/>
    <ignoredError sqref="P6:P8 P13:P17 P21:P26 P30:P35 P39:P42 P46:P52 P56:P61 P65:P68 P72:P78 P82:P86 P90:P94 P98:P102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1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PESSOAL'!D14:O14</xm:f>
              <xm:sqref>Q14</xm:sqref>
            </x14:sparkline>
            <x14:sparkline>
              <xm:f>'ORÇAMENTO PESSOAL'!D15:O15</xm:f>
              <xm:sqref>Q15</xm:sqref>
            </x14:sparkline>
            <x14:sparkline>
              <xm:f>'ORÇAMENTO PESSOAL'!D16:O16</xm:f>
              <xm:sqref>Q16</xm:sqref>
            </x14:sparkline>
            <x14:sparkline>
              <xm:f>'ORÇAMENTO PESSOAL'!D17:O17</xm:f>
              <xm:sqref>Q17</xm:sqref>
            </x14:sparkline>
            <x14:sparkline>
              <xm:f>'ORÇAMENTO PESSOAL'!D18:O18</xm:f>
              <xm:sqref>Q18</xm:sqref>
            </x14:sparkline>
          </x14:sparklines>
        </x14:sparklineGroup>
        <x14:sparklineGroup displayEmptyCellsAs="gap" high="1" low="1" xr2:uid="{00000000-0003-0000-01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PESSOAL'!D6:O6</xm:f>
              <xm:sqref>Q6</xm:sqref>
            </x14:sparkline>
            <x14:sparkline>
              <xm:f>'ORÇAMENTO PESSOAL'!D7:O7</xm:f>
              <xm:sqref>Q7</xm:sqref>
            </x14:sparkline>
            <x14:sparkline>
              <xm:f>'ORÇAMENTO PESSOAL'!D8:O8</xm:f>
              <xm:sqref>Q8</xm:sqref>
            </x14:sparkline>
            <x14:sparkline>
              <xm:f>'ORÇAMENTO PESSOAL'!D9:O9</xm:f>
              <xm:sqref>Q9</xm:sqref>
            </x14:sparkline>
          </x14:sparklines>
        </x14:sparklineGroup>
        <x14:sparklineGroup displayEmptyCellsAs="gap" high="1" low="1" xr2:uid="{00000000-0003-0000-01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PESSOAL'!D13:O13</xm:f>
              <xm:sqref>Q13</xm:sqref>
            </x14:sparkline>
          </x14:sparklines>
        </x14:sparklineGroup>
        <x14:sparklineGroup displayEmptyCellsAs="gap" high="1" low="1" xr2:uid="{00000000-0003-0000-01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PESSOAL'!D21:O21</xm:f>
              <xm:sqref>Q21</xm:sqref>
            </x14:sparkline>
            <x14:sparkline>
              <xm:f>'ORÇAMENTO PESSOAL'!D22:O22</xm:f>
              <xm:sqref>Q22</xm:sqref>
            </x14:sparkline>
            <x14:sparkline>
              <xm:f>'ORÇAMENTO PESSOAL'!D23:O23</xm:f>
              <xm:sqref>Q23</xm:sqref>
            </x14:sparkline>
            <x14:sparkline>
              <xm:f>'ORÇAMENTO PESSOAL'!D24:O24</xm:f>
              <xm:sqref>Q24</xm:sqref>
            </x14:sparkline>
            <x14:sparkline>
              <xm:f>'ORÇAMENTO PESSOAL'!D25:O25</xm:f>
              <xm:sqref>Q25</xm:sqref>
            </x14:sparkline>
            <x14:sparkline>
              <xm:f>'ORÇAMENTO PESSOAL'!D26:O26</xm:f>
              <xm:sqref>Q26</xm:sqref>
            </x14:sparkline>
            <x14:sparkline>
              <xm:f>'ORÇAMENTO PESSOAL'!D27:O27</xm:f>
              <xm:sqref>Q27</xm:sqref>
            </x14:sparkline>
          </x14:sparklines>
        </x14:sparklineGroup>
        <x14:sparklineGroup displayEmptyCellsAs="gap" high="1" low="1" xr2:uid="{00000000-0003-0000-01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PESSOAL'!D98:O98</xm:f>
              <xm:sqref>Q98</xm:sqref>
            </x14:sparkline>
            <x14:sparkline>
              <xm:f>'ORÇAMENTO PESSOAL'!D99:O99</xm:f>
              <xm:sqref>Q99</xm:sqref>
            </x14:sparkline>
            <x14:sparkline>
              <xm:f>'ORÇAMENTO PESSOAL'!D100:O100</xm:f>
              <xm:sqref>Q100</xm:sqref>
            </x14:sparkline>
            <x14:sparkline>
              <xm:f>'ORÇAMENTO PESSOAL'!D101:O101</xm:f>
              <xm:sqref>Q101</xm:sqref>
            </x14:sparkline>
            <x14:sparkline>
              <xm:f>'ORÇAMENTO PESSOAL'!D102:O102</xm:f>
              <xm:sqref>Q102</xm:sqref>
            </x14:sparkline>
            <x14:sparkline>
              <xm:f>'ORÇAMENTO PESSOAL'!D103:O103</xm:f>
              <xm:sqref>Q103</xm:sqref>
            </x14:sparkline>
          </x14:sparklines>
        </x14:sparklineGroup>
        <x14:sparklineGroup displayEmptyCellsAs="gap" high="1" low="1" xr2:uid="{00000000-0003-0000-0100-00000B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PESSOAL'!D90:O90</xm:f>
              <xm:sqref>Q90</xm:sqref>
            </x14:sparkline>
            <x14:sparkline>
              <xm:f>'ORÇAMENTO PESSOAL'!D91:O91</xm:f>
              <xm:sqref>Q91</xm:sqref>
            </x14:sparkline>
            <x14:sparkline>
              <xm:f>'ORÇAMENTO PESSOAL'!D92:O92</xm:f>
              <xm:sqref>Q92</xm:sqref>
            </x14:sparkline>
            <x14:sparkline>
              <xm:f>'ORÇAMENTO PESSOAL'!D93:O93</xm:f>
              <xm:sqref>Q93</xm:sqref>
            </x14:sparkline>
            <x14:sparkline>
              <xm:f>'ORÇAMENTO PESSOAL'!D94:O94</xm:f>
              <xm:sqref>Q94</xm:sqref>
            </x14:sparkline>
            <x14:sparkline>
              <xm:f>'ORÇAMENTO PESSOAL'!D95:O95</xm:f>
              <xm:sqref>Q95</xm:sqref>
            </x14:sparkline>
          </x14:sparklines>
        </x14:sparklineGroup>
        <x14:sparklineGroup displayEmptyCellsAs="gap" high="1" low="1" xr2:uid="{00000000-0003-0000-01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PESSOAL'!D82:O82</xm:f>
              <xm:sqref>Q82</xm:sqref>
            </x14:sparkline>
            <x14:sparkline>
              <xm:f>'ORÇAMENTO PESSOAL'!D83:O83</xm:f>
              <xm:sqref>Q83</xm:sqref>
            </x14:sparkline>
            <x14:sparkline>
              <xm:f>'ORÇAMENTO PESSOAL'!D84:O84</xm:f>
              <xm:sqref>Q84</xm:sqref>
            </x14:sparkline>
            <x14:sparkline>
              <xm:f>'ORÇAMENTO PESSOAL'!D85:O85</xm:f>
              <xm:sqref>Q85</xm:sqref>
            </x14:sparkline>
            <x14:sparkline>
              <xm:f>'ORÇAMENTO PESSOAL'!D86:O86</xm:f>
              <xm:sqref>Q86</xm:sqref>
            </x14:sparkline>
            <x14:sparkline>
              <xm:f>'ORÇAMENTO PESSOAL'!D87:O87</xm:f>
              <xm:sqref>Q87</xm:sqref>
            </x14:sparkline>
          </x14:sparklines>
        </x14:sparklineGroup>
        <x14:sparklineGroup displayEmptyCellsAs="gap" high="1" low="1" xr2:uid="{00000000-0003-0000-01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PESSOAL'!D72:O72</xm:f>
              <xm:sqref>Q72</xm:sqref>
            </x14:sparkline>
            <x14:sparkline>
              <xm:f>'ORÇAMENTO PESSOAL'!D73:O73</xm:f>
              <xm:sqref>Q73</xm:sqref>
            </x14:sparkline>
            <x14:sparkline>
              <xm:f>'ORÇAMENTO PESSOAL'!D74:O74</xm:f>
              <xm:sqref>Q74</xm:sqref>
            </x14:sparkline>
            <x14:sparkline>
              <xm:f>'ORÇAMENTO PESSOAL'!D75:O75</xm:f>
              <xm:sqref>Q75</xm:sqref>
            </x14:sparkline>
            <x14:sparkline>
              <xm:f>'ORÇAMENTO PESSOAL'!D76:O76</xm:f>
              <xm:sqref>Q76</xm:sqref>
            </x14:sparkline>
            <x14:sparkline>
              <xm:f>'ORÇAMENTO PESSOAL'!D77:O77</xm:f>
              <xm:sqref>Q77</xm:sqref>
            </x14:sparkline>
            <x14:sparkline>
              <xm:f>'ORÇAMENTO PESSOAL'!D78:O78</xm:f>
              <xm:sqref>Q78</xm:sqref>
            </x14:sparkline>
            <x14:sparkline>
              <xm:f>'ORÇAMENTO PESSOAL'!D79:O79</xm:f>
              <xm:sqref>Q79</xm:sqref>
            </x14:sparkline>
          </x14:sparklines>
        </x14:sparklineGroup>
        <x14:sparklineGroup displayEmptyCellsAs="gap" high="1" low="1" xr2:uid="{00000000-0003-0000-01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PESSOAL'!D65:O65</xm:f>
              <xm:sqref>Q65</xm:sqref>
            </x14:sparkline>
            <x14:sparkline>
              <xm:f>'ORÇAMENTO PESSOAL'!D66:O66</xm:f>
              <xm:sqref>Q66</xm:sqref>
            </x14:sparkline>
            <x14:sparkline>
              <xm:f>'ORÇAMENTO PESSOAL'!D67:O67</xm:f>
              <xm:sqref>Q67</xm:sqref>
            </x14:sparkline>
            <x14:sparkline>
              <xm:f>'ORÇAMENTO PESSOAL'!D68:O68</xm:f>
              <xm:sqref>Q68</xm:sqref>
            </x14:sparkline>
            <x14:sparkline>
              <xm:f>'ORÇAMENTO PESSOAL'!D69:O69</xm:f>
              <xm:sqref>Q69</xm:sqref>
            </x14:sparkline>
          </x14:sparklines>
        </x14:sparklineGroup>
        <x14:sparklineGroup displayEmptyCellsAs="gap" high="1" low="1" xr2:uid="{00000000-0003-0000-01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PESSOAL'!D56:O56</xm:f>
              <xm:sqref>Q56</xm:sqref>
            </x14:sparkline>
            <x14:sparkline>
              <xm:f>'ORÇAMENTO PESSOAL'!D57:O57</xm:f>
              <xm:sqref>Q57</xm:sqref>
            </x14:sparkline>
            <x14:sparkline>
              <xm:f>'ORÇAMENTO PESSOAL'!D58:O58</xm:f>
              <xm:sqref>Q58</xm:sqref>
            </x14:sparkline>
            <x14:sparkline>
              <xm:f>'ORÇAMENTO PESSOAL'!D59:O59</xm:f>
              <xm:sqref>Q59</xm:sqref>
            </x14:sparkline>
            <x14:sparkline>
              <xm:f>'ORÇAMENTO PESSOAL'!D60:O60</xm:f>
              <xm:sqref>Q60</xm:sqref>
            </x14:sparkline>
            <x14:sparkline>
              <xm:f>'ORÇAMENTO PESSOAL'!D61:O61</xm:f>
              <xm:sqref>Q61</xm:sqref>
            </x14:sparkline>
            <x14:sparkline>
              <xm:f>'ORÇAMENTO PESSOAL'!D62:O62</xm:f>
              <xm:sqref>Q62</xm:sqref>
            </x14:sparkline>
          </x14:sparklines>
        </x14:sparklineGroup>
        <x14:sparklineGroup displayEmptyCellsAs="gap" high="1" low="1" xr2:uid="{00000000-0003-0000-01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PESSOAL'!D46:O46</xm:f>
              <xm:sqref>Q46</xm:sqref>
            </x14:sparkline>
            <x14:sparkline>
              <xm:f>'ORÇAMENTO PESSOAL'!D47:O47</xm:f>
              <xm:sqref>Q47</xm:sqref>
            </x14:sparkline>
            <x14:sparkline>
              <xm:f>'ORÇAMENTO PESSOAL'!D48:O48</xm:f>
              <xm:sqref>Q48</xm:sqref>
            </x14:sparkline>
            <x14:sparkline>
              <xm:f>'ORÇAMENTO PESSOAL'!D49:O49</xm:f>
              <xm:sqref>Q49</xm:sqref>
            </x14:sparkline>
            <x14:sparkline>
              <xm:f>'ORÇAMENTO PESSOAL'!D50:O50</xm:f>
              <xm:sqref>Q50</xm:sqref>
            </x14:sparkline>
            <x14:sparkline>
              <xm:f>'ORÇAMENTO PESSOAL'!D51:O51</xm:f>
              <xm:sqref>Q51</xm:sqref>
            </x14:sparkline>
            <x14:sparkline>
              <xm:f>'ORÇAMENTO PESSOAL'!D52:O52</xm:f>
              <xm:sqref>Q52</xm:sqref>
            </x14:sparkline>
            <x14:sparkline>
              <xm:f>'ORÇAMENTO PESSOAL'!D53:O53</xm:f>
              <xm:sqref>Q53</xm:sqref>
            </x14:sparkline>
          </x14:sparklines>
        </x14:sparklineGroup>
        <x14:sparklineGroup displayEmptyCellsAs="gap" high="1" low="1" xr2:uid="{00000000-0003-0000-01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PESSOAL'!D39:O39</xm:f>
              <xm:sqref>Q39</xm:sqref>
            </x14:sparkline>
            <x14:sparkline>
              <xm:f>'ORÇAMENTO PESSOAL'!D40:O40</xm:f>
              <xm:sqref>Q40</xm:sqref>
            </x14:sparkline>
            <x14:sparkline>
              <xm:f>'ORÇAMENTO PESSOAL'!D41:O41</xm:f>
              <xm:sqref>Q41</xm:sqref>
            </x14:sparkline>
            <x14:sparkline>
              <xm:f>'ORÇAMENTO PESSOAL'!D42:O42</xm:f>
              <xm:sqref>Q42</xm:sqref>
            </x14:sparkline>
            <x14:sparkline>
              <xm:f>'ORÇAMENTO PESSOAL'!D43:O43</xm:f>
              <xm:sqref>Q43</xm:sqref>
            </x14:sparkline>
          </x14:sparklines>
        </x14:sparklineGroup>
        <x14:sparklineGroup displayEmptyCellsAs="gap" high="1" low="1" xr2:uid="{00000000-0003-0000-01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PESSOAL'!D30:O30</xm:f>
              <xm:sqref>Q30</xm:sqref>
            </x14:sparkline>
            <x14:sparkline>
              <xm:f>'ORÇAMENTO PESSOAL'!D31:O31</xm:f>
              <xm:sqref>Q31</xm:sqref>
            </x14:sparkline>
            <x14:sparkline>
              <xm:f>'ORÇAMENTO PESSOAL'!D32:O32</xm:f>
              <xm:sqref>Q32</xm:sqref>
            </x14:sparkline>
            <x14:sparkline>
              <xm:f>'ORÇAMENTO PESSOAL'!D33:O33</xm:f>
              <xm:sqref>Q33</xm:sqref>
            </x14:sparkline>
            <x14:sparkline>
              <xm:f>'ORÇAMENTO PESSOAL'!D34:O34</xm:f>
              <xm:sqref>Q34</xm:sqref>
            </x14:sparkline>
            <x14:sparkline>
              <xm:f>'ORÇAMENTO PESSOAL'!D35:O35</xm:f>
              <xm:sqref>Q35</xm:sqref>
            </x14:sparkline>
            <x14:sparkline>
              <xm:f>'ORÇAMENTO PESSOAL'!D36:O36</xm:f>
              <xm:sqref>Q36</xm:sqref>
            </x14:sparkline>
          </x14:sparklines>
        </x14:sparklineGroup>
        <x14:sparklineGroup displayEmptyCellsAs="gap" high="1" low="1" xr2:uid="{00000000-0003-0000-0100-00000C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PESSOAL'!D106:O106</xm:f>
              <xm:sqref>Q106</xm:sqref>
            </x14:sparkline>
            <x14:sparkline>
              <xm:f>'ORÇAMENTO PESSOAL'!D107:O107</xm:f>
              <xm:sqref>Q107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INÍCIO</vt:lpstr>
      <vt:lpstr>ORÇAMENTO PESSOAL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2018-06-21T11:23:21Z</dcterms:created>
  <dcterms:modified xsi:type="dcterms:W3CDTF">2021-12-16T17:45:06Z</dcterms:modified>
</cp:coreProperties>
</file>